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activeTab="0"/>
  </bookViews>
  <sheets>
    <sheet name="Sheet1" sheetId="1" r:id="rId1"/>
  </sheets>
  <definedNames>
    <definedName name="AG">'Sheet1'!$B$39</definedName>
    <definedName name="basic_disp">'Sheet1'!$B$40</definedName>
    <definedName name="End_spac">'Sheet1'!$B$21</definedName>
    <definedName name="Enter_f">'Sheet1'!$D$8</definedName>
    <definedName name="Enter_slots">'Sheet1'!#REF!</definedName>
    <definedName name="FGhz">'Sheet1'!$D$8</definedName>
    <definedName name="G_1">'Sheet1'!$B$32</definedName>
    <definedName name="G_2_slot">'Sheet1'!$G$31</definedName>
    <definedName name="G_slot">'Sheet1'!$B$31</definedName>
    <definedName name="lam_cutoff">'Sheet1'!$B$26</definedName>
    <definedName name="lam_guide">'Sheet1'!$B$27</definedName>
    <definedName name="lam_zero">'Sheet1'!$B$25</definedName>
    <definedName name="ndisp">'Sheet1'!$I$36</definedName>
    <definedName name="New_G1">'Sheet1'!$G$32</definedName>
    <definedName name="New_slot_disp">'Sheet1'!$G$36</definedName>
    <definedName name="New_slot_len">'Sheet1'!$G$44</definedName>
    <definedName name="New_slot_width">'Sheet1'!$I$19</definedName>
    <definedName name="New_Y">'Sheet1'!$G$33</definedName>
    <definedName name="Nslots">'Sheet1'!$D$11</definedName>
    <definedName name="Nslots_copy">'Sheet1'!$D$11</definedName>
    <definedName name="Slot_disp">'Sheet1'!$B$36</definedName>
    <definedName name="Slot_len">'Sheet1'!$B$18</definedName>
    <definedName name="Slot_spac">'Sheet1'!$B$20</definedName>
    <definedName name="Slot_width">'Sheet1'!$B$19</definedName>
    <definedName name="Slot_wl">'Sheet1'!$G$43</definedName>
    <definedName name="Sot_len">'Sheet1'!$B$18</definedName>
    <definedName name="threequartspac">'Sheet1'!$B$22</definedName>
    <definedName name="WG_a">'Sheet1'!$D$9</definedName>
    <definedName name="WG_a_inch">'Sheet1'!#REF!</definedName>
    <definedName name="WG_b">'Sheet1'!$D$10</definedName>
    <definedName name="WG_b_inch">'Sheet1'!#REF!</definedName>
    <definedName name="xx">'Sheet1'!$D$11</definedName>
    <definedName name="Y">'Sheet1'!$B$33</definedName>
    <definedName name="_xlnm.Print_Area" localSheetId="0">'Sheet1'!$A$1:$Q$58</definedName>
  </definedNames>
  <calcPr fullCalcOnLoad="1"/>
</workbook>
</file>

<file path=xl/sharedStrings.xml><?xml version="1.0" encoding="utf-8"?>
<sst xmlns="http://schemas.openxmlformats.org/spreadsheetml/2006/main" count="113" uniqueCount="66">
  <si>
    <t>G1</t>
  </si>
  <si>
    <t>Y</t>
  </si>
  <si>
    <t>OFFSET</t>
  </si>
  <si>
    <t>AG</t>
  </si>
  <si>
    <t>Offset</t>
  </si>
  <si>
    <t>GHz</t>
  </si>
  <si>
    <t>mm</t>
  </si>
  <si>
    <t>Gslot</t>
  </si>
  <si>
    <t>old from KB7TRZ</t>
  </si>
  <si>
    <t>improved from Elliott</t>
  </si>
  <si>
    <t>Wavelength - cutoff</t>
  </si>
  <si>
    <t>Offset calculation: Mathcad from KB7TRZ:</t>
  </si>
  <si>
    <t>Offset calculation: BASIC from W6OYJ:</t>
  </si>
  <si>
    <t>New offset calc from Elliott:</t>
  </si>
  <si>
    <t>Slot Length Calculation from Stegen curves:</t>
  </si>
  <si>
    <t>Slot Length</t>
  </si>
  <si>
    <t>enter taper admittance here</t>
  </si>
  <si>
    <t>Slot in wavelengths</t>
  </si>
  <si>
    <t>dB</t>
  </si>
  <si>
    <t>deg</t>
  </si>
  <si>
    <t>Beamwidth=</t>
  </si>
  <si>
    <t xml:space="preserve"> </t>
  </si>
  <si>
    <t>Gain =</t>
  </si>
  <si>
    <t>Guide wavelength (Lg)</t>
  </si>
  <si>
    <t>Wavelength - free space (Lo)</t>
  </si>
  <si>
    <t>calculs pour le  PROBE</t>
  </si>
  <si>
    <t>diamètre du probe(diam)</t>
  </si>
  <si>
    <t>longueur du probe (long)</t>
  </si>
  <si>
    <t>le fond peut être réglable ainsi que le haut de l'antenne, mais en tout état de cause , les extrémités sont closes !</t>
  </si>
  <si>
    <t>taille MAXI avec les plus grandes cotes</t>
  </si>
  <si>
    <t>ou</t>
  </si>
  <si>
    <t>Calculateur pour Antenne a Fente</t>
  </si>
  <si>
    <t>ghz</t>
  </si>
  <si>
    <t xml:space="preserve">Diamètre du probe = 0,027 Lg </t>
  </si>
  <si>
    <t>Longueur du probe = 0,160 Lg</t>
  </si>
  <si>
    <t>Distance du fond = 0,120 Lg (ou 0,620 Lg)</t>
  </si>
  <si>
    <t>Minimum</t>
  </si>
  <si>
    <t>longueur MAXI  de l'antenne</t>
  </si>
  <si>
    <t>a vous de calculer pour optimiser la facture !</t>
  </si>
  <si>
    <t>longueur MINI  de l'antenne</t>
  </si>
  <si>
    <t xml:space="preserve">Match =  3 vis espacées de Lg/8 ou Lg/4 </t>
  </si>
  <si>
    <t>FORMULES :</t>
  </si>
  <si>
    <t>Parametres</t>
  </si>
  <si>
    <t>ENTREZ vos Paramétres  dans les cases jaunes (résultats dans les cases Vertes)</t>
  </si>
  <si>
    <t>RESULTATS des CALCULS :</t>
  </si>
  <si>
    <t>Estimation des Performances</t>
  </si>
  <si>
    <t>diam</t>
  </si>
  <si>
    <t>Frequence</t>
  </si>
  <si>
    <t>Dimensions INTERNES grand coté</t>
  </si>
  <si>
    <t>Dimensions INTERNES petit coté</t>
  </si>
  <si>
    <t>Nombre TOTAL de fentes</t>
  </si>
  <si>
    <t>INTERMEDIATE TERMS -- ne pas toucher !</t>
  </si>
  <si>
    <t>total des deux cotés</t>
  </si>
  <si>
    <t xml:space="preserve">Offset  from centerline </t>
  </si>
  <si>
    <t>Longeur de la fente</t>
  </si>
  <si>
    <t>Largeur de la fente</t>
  </si>
  <si>
    <t xml:space="preserve">Slot spacing center to center </t>
  </si>
  <si>
    <t xml:space="preserve">End space = 1/4 wave </t>
  </si>
  <si>
    <t xml:space="preserve">End space = 3/4 wave </t>
  </si>
  <si>
    <t>End space = distance entre haut (fermé ou avec charge) et l'axe de la derniere fente</t>
  </si>
  <si>
    <t>frequence basse =</t>
  </si>
  <si>
    <t>il est possible d'installer une charge 50 Ohms a la place de la plaque du haut …</t>
  </si>
  <si>
    <t xml:space="preserve">distance par rapport au fond </t>
  </si>
  <si>
    <t>espacement vis de réglages</t>
  </si>
  <si>
    <t xml:space="preserve">il semble conseillé de prolonger le bas de l'antenne et de coller une cale pour faciliter les réglages </t>
  </si>
  <si>
    <t>from W1GHZ  modifs F1CHF (Mai 2008)</t>
  </si>
</sst>
</file>

<file path=xl/styles.xml><?xml version="1.0" encoding="utf-8"?>
<styleSheet xmlns="http://schemas.openxmlformats.org/spreadsheetml/2006/main">
  <numFmts count="2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F&quot;#,##0_);\(&quot;F&quot;#,##0\)"/>
    <numFmt numFmtId="165" formatCode="&quot;F&quot;#,##0_);[Red]\(&quot;F&quot;#,##0\)"/>
    <numFmt numFmtId="166" formatCode="&quot;F&quot;#,##0.00_);\(&quot;F&quot;#,##0.00\)"/>
    <numFmt numFmtId="167" formatCode="&quot;F&quot;#,##0.00_);[Red]\(&quot;F&quot;#,##0.00\)"/>
    <numFmt numFmtId="168" formatCode="_(&quot;F&quot;* #,##0_);_(&quot;F&quot;* \(#,##0\);_(&quot;F&quot;* &quot;-&quot;_);_(@_)"/>
    <numFmt numFmtId="169" formatCode="_(* #,##0_);_(* \(#,##0\);_(* &quot;-&quot;_);_(@_)"/>
    <numFmt numFmtId="170" formatCode="_(&quot;F&quot;* #,##0.00_);_(&quot;F&quot;* \(#,##0.00\);_(&quot;F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0000"/>
    <numFmt numFmtId="181" formatCode="0.0"/>
    <numFmt numFmtId="182" formatCode="0.000000"/>
  </numFmts>
  <fonts count="3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color indexed="57"/>
      <name val="Arial"/>
      <family val="2"/>
    </font>
    <font>
      <b/>
      <i/>
      <u val="single"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b/>
      <i/>
      <u val="single"/>
      <sz val="14"/>
      <color indexed="57"/>
      <name val="Arial"/>
      <family val="2"/>
    </font>
    <font>
      <i/>
      <sz val="14"/>
      <color indexed="53"/>
      <name val="Arial"/>
      <family val="2"/>
    </font>
    <font>
      <i/>
      <sz val="14"/>
      <name val="Arial"/>
      <family val="2"/>
    </font>
    <font>
      <b/>
      <sz val="12"/>
      <color indexed="57"/>
      <name val="Arial"/>
      <family val="2"/>
    </font>
    <font>
      <i/>
      <u val="single"/>
      <sz val="14"/>
      <color indexed="53"/>
      <name val="Arial"/>
      <family val="2"/>
    </font>
    <font>
      <i/>
      <u val="single"/>
      <sz val="14"/>
      <color indexed="57"/>
      <name val="Arial"/>
      <family val="2"/>
    </font>
    <font>
      <sz val="14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i/>
      <sz val="10"/>
      <color indexed="57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18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81" fontId="0" fillId="2" borderId="0" xfId="0" applyNumberFormat="1" applyFont="1" applyFill="1" applyAlignment="1">
      <alignment horizontal="right"/>
    </xf>
    <xf numFmtId="181" fontId="23" fillId="2" borderId="0" xfId="0" applyNumberFormat="1" applyFont="1" applyFill="1" applyAlignment="1">
      <alignment horizontal="center"/>
    </xf>
    <xf numFmtId="181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181" fontId="0" fillId="2" borderId="0" xfId="0" applyNumberFormat="1" applyFill="1" applyAlignment="1">
      <alignment/>
    </xf>
    <xf numFmtId="181" fontId="0" fillId="2" borderId="0" xfId="0" applyNumberFormat="1" applyFont="1" applyFill="1" applyAlignment="1">
      <alignment/>
    </xf>
    <xf numFmtId="181" fontId="0" fillId="0" borderId="0" xfId="0" applyNumberFormat="1" applyAlignment="1">
      <alignment horizontal="left"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1" fontId="0" fillId="2" borderId="0" xfId="0" applyNumberFormat="1" applyFill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5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9" fillId="0" borderId="4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179" fontId="5" fillId="4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6" fillId="0" borderId="4" xfId="0" applyFont="1" applyBorder="1" applyAlignment="1">
      <alignment/>
    </xf>
    <xf numFmtId="0" fontId="3" fillId="0" borderId="4" xfId="0" applyFon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9" fillId="0" borderId="4" xfId="0" applyFont="1" applyBorder="1" applyAlignment="1">
      <alignment/>
    </xf>
    <xf numFmtId="2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9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4" xfId="0" applyFont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79" fontId="6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181" fontId="0" fillId="0" borderId="0" xfId="0" applyNumberFormat="1" applyFill="1" applyBorder="1" applyAlignment="1">
      <alignment/>
    </xf>
    <xf numFmtId="0" fontId="21" fillId="0" borderId="4" xfId="0" applyFont="1" applyBorder="1" applyAlignment="1">
      <alignment/>
    </xf>
    <xf numFmtId="181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179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79" fontId="21" fillId="0" borderId="0" xfId="0" applyNumberFormat="1" applyFont="1" applyBorder="1" applyAlignment="1">
      <alignment/>
    </xf>
    <xf numFmtId="0" fontId="22" fillId="0" borderId="5" xfId="0" applyFont="1" applyBorder="1" applyAlignment="1">
      <alignment/>
    </xf>
    <xf numFmtId="181" fontId="0" fillId="0" borderId="0" xfId="0" applyNumberFormat="1" applyBorder="1" applyAlignment="1">
      <alignment/>
    </xf>
    <xf numFmtId="0" fontId="4" fillId="0" borderId="4" xfId="0" applyFont="1" applyBorder="1" applyAlignment="1">
      <alignment/>
    </xf>
    <xf numFmtId="0" fontId="17" fillId="0" borderId="4" xfId="0" applyFont="1" applyBorder="1" applyAlignment="1">
      <alignment/>
    </xf>
    <xf numFmtId="178" fontId="0" fillId="0" borderId="0" xfId="0" applyNumberFormat="1" applyBorder="1" applyAlignment="1">
      <alignment/>
    </xf>
    <xf numFmtId="178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78" fontId="7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4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25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7" fillId="5" borderId="0" xfId="0" applyFont="1" applyFill="1" applyBorder="1" applyAlignment="1">
      <alignment horizontal="right"/>
    </xf>
    <xf numFmtId="0" fontId="28" fillId="5" borderId="0" xfId="0" applyFont="1" applyFill="1" applyBorder="1" applyAlignment="1">
      <alignment/>
    </xf>
    <xf numFmtId="181" fontId="27" fillId="5" borderId="0" xfId="0" applyNumberFormat="1" applyFont="1" applyFill="1" applyBorder="1" applyAlignment="1">
      <alignment horizontal="center"/>
    </xf>
    <xf numFmtId="0" fontId="29" fillId="5" borderId="0" xfId="0" applyFont="1" applyFill="1" applyBorder="1" applyAlignment="1">
      <alignment/>
    </xf>
    <xf numFmtId="0" fontId="27" fillId="5" borderId="0" xfId="0" applyFont="1" applyFill="1" applyBorder="1" applyAlignment="1">
      <alignment/>
    </xf>
    <xf numFmtId="181" fontId="27" fillId="5" borderId="0" xfId="0" applyNumberFormat="1" applyFont="1" applyFill="1" applyBorder="1" applyAlignment="1">
      <alignment/>
    </xf>
    <xf numFmtId="2" fontId="28" fillId="5" borderId="0" xfId="0" applyNumberFormat="1" applyFont="1" applyFill="1" applyBorder="1" applyAlignment="1">
      <alignment/>
    </xf>
    <xf numFmtId="181" fontId="0" fillId="5" borderId="0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179" fontId="0" fillId="5" borderId="0" xfId="0" applyNumberFormat="1" applyFill="1" applyBorder="1" applyAlignment="1">
      <alignment horizontal="center"/>
    </xf>
    <xf numFmtId="0" fontId="30" fillId="0" borderId="4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5" xfId="0" applyFont="1" applyBorder="1" applyAlignment="1">
      <alignment/>
    </xf>
    <xf numFmtId="0" fontId="3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</xdr:row>
      <xdr:rowOff>0</xdr:rowOff>
    </xdr:from>
    <xdr:to>
      <xdr:col>15</xdr:col>
      <xdr:colOff>76200</xdr:colOff>
      <xdr:row>43</xdr:row>
      <xdr:rowOff>152400</xdr:rowOff>
    </xdr:to>
    <xdr:sp>
      <xdr:nvSpPr>
        <xdr:cNvPr id="1" name="Rectangle 10"/>
        <xdr:cNvSpPr>
          <a:spLocks/>
        </xdr:cNvSpPr>
      </xdr:nvSpPr>
      <xdr:spPr>
        <a:xfrm>
          <a:off x="6858000" y="419100"/>
          <a:ext cx="2209800" cy="7524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85725</xdr:rowOff>
    </xdr:from>
    <xdr:to>
      <xdr:col>13</xdr:col>
      <xdr:colOff>57150</xdr:colOff>
      <xdr:row>43</xdr:row>
      <xdr:rowOff>38100</xdr:rowOff>
    </xdr:to>
    <xdr:sp>
      <xdr:nvSpPr>
        <xdr:cNvPr id="2" name="Line 13"/>
        <xdr:cNvSpPr>
          <a:spLocks/>
        </xdr:cNvSpPr>
      </xdr:nvSpPr>
      <xdr:spPr>
        <a:xfrm>
          <a:off x="8020050" y="85725"/>
          <a:ext cx="47625" cy="774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</xdr:row>
      <xdr:rowOff>38100</xdr:rowOff>
    </xdr:from>
    <xdr:to>
      <xdr:col>12</xdr:col>
      <xdr:colOff>9525</xdr:colOff>
      <xdr:row>2</xdr:row>
      <xdr:rowOff>9525</xdr:rowOff>
    </xdr:to>
    <xdr:sp>
      <xdr:nvSpPr>
        <xdr:cNvPr id="3" name="Line 14"/>
        <xdr:cNvSpPr>
          <a:spLocks/>
        </xdr:cNvSpPr>
      </xdr:nvSpPr>
      <xdr:spPr>
        <a:xfrm flipV="1">
          <a:off x="6819900" y="200025"/>
          <a:ext cx="59055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</xdr:row>
      <xdr:rowOff>28575</xdr:rowOff>
    </xdr:from>
    <xdr:to>
      <xdr:col>15</xdr:col>
      <xdr:colOff>600075</xdr:colOff>
      <xdr:row>1</xdr:row>
      <xdr:rowOff>38100</xdr:rowOff>
    </xdr:to>
    <xdr:sp>
      <xdr:nvSpPr>
        <xdr:cNvPr id="4" name="Line 15"/>
        <xdr:cNvSpPr>
          <a:spLocks/>
        </xdr:cNvSpPr>
      </xdr:nvSpPr>
      <xdr:spPr>
        <a:xfrm flipV="1">
          <a:off x="7419975" y="190500"/>
          <a:ext cx="21717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</xdr:row>
      <xdr:rowOff>28575</xdr:rowOff>
    </xdr:from>
    <xdr:to>
      <xdr:col>16</xdr:col>
      <xdr:colOff>19050</xdr:colOff>
      <xdr:row>2</xdr:row>
      <xdr:rowOff>28575</xdr:rowOff>
    </xdr:to>
    <xdr:sp>
      <xdr:nvSpPr>
        <xdr:cNvPr id="5" name="Line 16"/>
        <xdr:cNvSpPr>
          <a:spLocks/>
        </xdr:cNvSpPr>
      </xdr:nvSpPr>
      <xdr:spPr>
        <a:xfrm flipH="1">
          <a:off x="9029700" y="190500"/>
          <a:ext cx="609600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38100</xdr:rowOff>
    </xdr:from>
    <xdr:to>
      <xdr:col>12</xdr:col>
      <xdr:colOff>9525</xdr:colOff>
      <xdr:row>2</xdr:row>
      <xdr:rowOff>28575</xdr:rowOff>
    </xdr:to>
    <xdr:sp>
      <xdr:nvSpPr>
        <xdr:cNvPr id="6" name="Line 17"/>
        <xdr:cNvSpPr>
          <a:spLocks/>
        </xdr:cNvSpPr>
      </xdr:nvSpPr>
      <xdr:spPr>
        <a:xfrm>
          <a:off x="7410450" y="200025"/>
          <a:ext cx="0" cy="247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19050</xdr:rowOff>
    </xdr:from>
    <xdr:to>
      <xdr:col>16</xdr:col>
      <xdr:colOff>0</xdr:colOff>
      <xdr:row>42</xdr:row>
      <xdr:rowOff>57150</xdr:rowOff>
    </xdr:to>
    <xdr:sp>
      <xdr:nvSpPr>
        <xdr:cNvPr id="7" name="Line 18"/>
        <xdr:cNvSpPr>
          <a:spLocks/>
        </xdr:cNvSpPr>
      </xdr:nvSpPr>
      <xdr:spPr>
        <a:xfrm>
          <a:off x="9620250" y="180975"/>
          <a:ext cx="0" cy="7505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42</xdr:row>
      <xdr:rowOff>85725</xdr:rowOff>
    </xdr:from>
    <xdr:to>
      <xdr:col>16</xdr:col>
      <xdr:colOff>28575</xdr:colOff>
      <xdr:row>44</xdr:row>
      <xdr:rowOff>28575</xdr:rowOff>
    </xdr:to>
    <xdr:sp>
      <xdr:nvSpPr>
        <xdr:cNvPr id="8" name="Line 19"/>
        <xdr:cNvSpPr>
          <a:spLocks/>
        </xdr:cNvSpPr>
      </xdr:nvSpPr>
      <xdr:spPr>
        <a:xfrm flipH="1">
          <a:off x="9020175" y="7715250"/>
          <a:ext cx="628650" cy="2667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42</xdr:row>
      <xdr:rowOff>57150</xdr:rowOff>
    </xdr:from>
    <xdr:to>
      <xdr:col>16</xdr:col>
      <xdr:colOff>9525</xdr:colOff>
      <xdr:row>43</xdr:row>
      <xdr:rowOff>142875</xdr:rowOff>
    </xdr:to>
    <xdr:sp>
      <xdr:nvSpPr>
        <xdr:cNvPr id="9" name="Line 24"/>
        <xdr:cNvSpPr>
          <a:spLocks/>
        </xdr:cNvSpPr>
      </xdr:nvSpPr>
      <xdr:spPr>
        <a:xfrm flipH="1">
          <a:off x="9039225" y="7686675"/>
          <a:ext cx="590550" cy="247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8</xdr:row>
      <xdr:rowOff>47625</xdr:rowOff>
    </xdr:from>
    <xdr:to>
      <xdr:col>12</xdr:col>
      <xdr:colOff>352425</xdr:colOff>
      <xdr:row>15</xdr:row>
      <xdr:rowOff>76200</xdr:rowOff>
    </xdr:to>
    <xdr:sp>
      <xdr:nvSpPr>
        <xdr:cNvPr id="10" name="Rectangle 25"/>
        <xdr:cNvSpPr>
          <a:spLocks/>
        </xdr:cNvSpPr>
      </xdr:nvSpPr>
      <xdr:spPr>
        <a:xfrm>
          <a:off x="7562850" y="1581150"/>
          <a:ext cx="1905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16</xdr:row>
      <xdr:rowOff>133350</xdr:rowOff>
    </xdr:from>
    <xdr:to>
      <xdr:col>13</xdr:col>
      <xdr:colOff>400050</xdr:colOff>
      <xdr:row>25</xdr:row>
      <xdr:rowOff>95250</xdr:rowOff>
    </xdr:to>
    <xdr:sp>
      <xdr:nvSpPr>
        <xdr:cNvPr id="11" name="Rectangle 26"/>
        <xdr:cNvSpPr>
          <a:spLocks/>
        </xdr:cNvSpPr>
      </xdr:nvSpPr>
      <xdr:spPr>
        <a:xfrm>
          <a:off x="8220075" y="3295650"/>
          <a:ext cx="1905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8</xdr:row>
      <xdr:rowOff>47625</xdr:rowOff>
    </xdr:from>
    <xdr:to>
      <xdr:col>12</xdr:col>
      <xdr:colOff>171450</xdr:colOff>
      <xdr:row>8</xdr:row>
      <xdr:rowOff>47625</xdr:rowOff>
    </xdr:to>
    <xdr:sp>
      <xdr:nvSpPr>
        <xdr:cNvPr id="12" name="Line 27"/>
        <xdr:cNvSpPr>
          <a:spLocks/>
        </xdr:cNvSpPr>
      </xdr:nvSpPr>
      <xdr:spPr>
        <a:xfrm flipH="1">
          <a:off x="7000875" y="1581150"/>
          <a:ext cx="571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2</xdr:row>
      <xdr:rowOff>76200</xdr:rowOff>
    </xdr:from>
    <xdr:to>
      <xdr:col>13</xdr:col>
      <xdr:colOff>409575</xdr:colOff>
      <xdr:row>11</xdr:row>
      <xdr:rowOff>161925</xdr:rowOff>
    </xdr:to>
    <xdr:sp>
      <xdr:nvSpPr>
        <xdr:cNvPr id="13" name="Line 28"/>
        <xdr:cNvSpPr>
          <a:spLocks/>
        </xdr:cNvSpPr>
      </xdr:nvSpPr>
      <xdr:spPr>
        <a:xfrm>
          <a:off x="8420100" y="49530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15</xdr:row>
      <xdr:rowOff>76200</xdr:rowOff>
    </xdr:from>
    <xdr:to>
      <xdr:col>12</xdr:col>
      <xdr:colOff>190500</xdr:colOff>
      <xdr:row>15</xdr:row>
      <xdr:rowOff>76200</xdr:rowOff>
    </xdr:to>
    <xdr:sp>
      <xdr:nvSpPr>
        <xdr:cNvPr id="14" name="Line 29"/>
        <xdr:cNvSpPr>
          <a:spLocks/>
        </xdr:cNvSpPr>
      </xdr:nvSpPr>
      <xdr:spPr>
        <a:xfrm flipH="1" flipV="1">
          <a:off x="7000875" y="300037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8</xdr:row>
      <xdr:rowOff>38100</xdr:rowOff>
    </xdr:from>
    <xdr:to>
      <xdr:col>11</xdr:col>
      <xdr:colOff>495300</xdr:colOff>
      <xdr:row>15</xdr:row>
      <xdr:rowOff>66675</xdr:rowOff>
    </xdr:to>
    <xdr:sp>
      <xdr:nvSpPr>
        <xdr:cNvPr id="15" name="Line 30"/>
        <xdr:cNvSpPr>
          <a:spLocks/>
        </xdr:cNvSpPr>
      </xdr:nvSpPr>
      <xdr:spPr>
        <a:xfrm>
          <a:off x="7286625" y="157162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15</xdr:row>
      <xdr:rowOff>76200</xdr:rowOff>
    </xdr:from>
    <xdr:to>
      <xdr:col>12</xdr:col>
      <xdr:colOff>161925</xdr:colOff>
      <xdr:row>18</xdr:row>
      <xdr:rowOff>85725</xdr:rowOff>
    </xdr:to>
    <xdr:sp>
      <xdr:nvSpPr>
        <xdr:cNvPr id="16" name="Line 31"/>
        <xdr:cNvSpPr>
          <a:spLocks/>
        </xdr:cNvSpPr>
      </xdr:nvSpPr>
      <xdr:spPr>
        <a:xfrm>
          <a:off x="7562850" y="3000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76200</xdr:rowOff>
    </xdr:from>
    <xdr:to>
      <xdr:col>12</xdr:col>
      <xdr:colOff>352425</xdr:colOff>
      <xdr:row>18</xdr:row>
      <xdr:rowOff>47625</xdr:rowOff>
    </xdr:to>
    <xdr:sp>
      <xdr:nvSpPr>
        <xdr:cNvPr id="17" name="Line 32"/>
        <xdr:cNvSpPr>
          <a:spLocks/>
        </xdr:cNvSpPr>
      </xdr:nvSpPr>
      <xdr:spPr>
        <a:xfrm>
          <a:off x="7753350" y="30003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17</xdr:row>
      <xdr:rowOff>66675</xdr:rowOff>
    </xdr:from>
    <xdr:to>
      <xdr:col>12</xdr:col>
      <xdr:colOff>161925</xdr:colOff>
      <xdr:row>17</xdr:row>
      <xdr:rowOff>66675</xdr:rowOff>
    </xdr:to>
    <xdr:sp>
      <xdr:nvSpPr>
        <xdr:cNvPr id="18" name="Line 35"/>
        <xdr:cNvSpPr>
          <a:spLocks/>
        </xdr:cNvSpPr>
      </xdr:nvSpPr>
      <xdr:spPr>
        <a:xfrm flipH="1" flipV="1">
          <a:off x="7391400" y="3390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18</xdr:row>
      <xdr:rowOff>57150</xdr:rowOff>
    </xdr:from>
    <xdr:to>
      <xdr:col>13</xdr:col>
      <xdr:colOff>47625</xdr:colOff>
      <xdr:row>18</xdr:row>
      <xdr:rowOff>57150</xdr:rowOff>
    </xdr:to>
    <xdr:sp>
      <xdr:nvSpPr>
        <xdr:cNvPr id="19" name="Line 36"/>
        <xdr:cNvSpPr>
          <a:spLocks/>
        </xdr:cNvSpPr>
      </xdr:nvSpPr>
      <xdr:spPr>
        <a:xfrm flipH="1" flipV="1">
          <a:off x="7667625" y="3543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18</xdr:row>
      <xdr:rowOff>57150</xdr:rowOff>
    </xdr:from>
    <xdr:to>
      <xdr:col>12</xdr:col>
      <xdr:colOff>266700</xdr:colOff>
      <xdr:row>18</xdr:row>
      <xdr:rowOff>57150</xdr:rowOff>
    </xdr:to>
    <xdr:sp>
      <xdr:nvSpPr>
        <xdr:cNvPr id="20" name="Line 37"/>
        <xdr:cNvSpPr>
          <a:spLocks/>
        </xdr:cNvSpPr>
      </xdr:nvSpPr>
      <xdr:spPr>
        <a:xfrm flipH="1" flipV="1">
          <a:off x="7372350" y="35433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11</xdr:row>
      <xdr:rowOff>161925</xdr:rowOff>
    </xdr:from>
    <xdr:to>
      <xdr:col>14</xdr:col>
      <xdr:colOff>371475</xdr:colOff>
      <xdr:row>11</xdr:row>
      <xdr:rowOff>161925</xdr:rowOff>
    </xdr:to>
    <xdr:sp>
      <xdr:nvSpPr>
        <xdr:cNvPr id="21" name="Line 41"/>
        <xdr:cNvSpPr>
          <a:spLocks/>
        </xdr:cNvSpPr>
      </xdr:nvSpPr>
      <xdr:spPr>
        <a:xfrm>
          <a:off x="7439025" y="22955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21</xdr:row>
      <xdr:rowOff>57150</xdr:rowOff>
    </xdr:from>
    <xdr:to>
      <xdr:col>14</xdr:col>
      <xdr:colOff>371475</xdr:colOff>
      <xdr:row>21</xdr:row>
      <xdr:rowOff>57150</xdr:rowOff>
    </xdr:to>
    <xdr:sp>
      <xdr:nvSpPr>
        <xdr:cNvPr id="22" name="Line 42"/>
        <xdr:cNvSpPr>
          <a:spLocks/>
        </xdr:cNvSpPr>
      </xdr:nvSpPr>
      <xdr:spPr>
        <a:xfrm>
          <a:off x="7600950" y="40290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12</xdr:row>
      <xdr:rowOff>0</xdr:rowOff>
    </xdr:from>
    <xdr:to>
      <xdr:col>13</xdr:col>
      <xdr:colOff>600075</xdr:colOff>
      <xdr:row>21</xdr:row>
      <xdr:rowOff>66675</xdr:rowOff>
    </xdr:to>
    <xdr:sp>
      <xdr:nvSpPr>
        <xdr:cNvPr id="23" name="Line 44"/>
        <xdr:cNvSpPr>
          <a:spLocks/>
        </xdr:cNvSpPr>
      </xdr:nvSpPr>
      <xdr:spPr>
        <a:xfrm>
          <a:off x="8610600" y="2333625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19050</xdr:rowOff>
    </xdr:from>
    <xdr:to>
      <xdr:col>13</xdr:col>
      <xdr:colOff>152400</xdr:colOff>
      <xdr:row>31</xdr:row>
      <xdr:rowOff>9525</xdr:rowOff>
    </xdr:to>
    <xdr:grpSp>
      <xdr:nvGrpSpPr>
        <xdr:cNvPr id="24" name="Group 49"/>
        <xdr:cNvGrpSpPr>
          <a:grpSpLocks/>
        </xdr:cNvGrpSpPr>
      </xdr:nvGrpSpPr>
      <xdr:grpSpPr>
        <a:xfrm>
          <a:off x="7953375" y="5524500"/>
          <a:ext cx="209550" cy="219075"/>
          <a:chOff x="838" y="584"/>
          <a:chExt cx="22" cy="23"/>
        </a:xfrm>
        <a:solidFill>
          <a:srgbClr val="FFFFFF"/>
        </a:solidFill>
      </xdr:grpSpPr>
      <xdr:sp>
        <xdr:nvSpPr>
          <xdr:cNvPr id="25" name="Oval 47"/>
          <xdr:cNvSpPr>
            <a:spLocks/>
          </xdr:cNvSpPr>
        </xdr:nvSpPr>
        <xdr:spPr>
          <a:xfrm>
            <a:off x="838" y="584"/>
            <a:ext cx="22" cy="23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8"/>
          <xdr:cNvSpPr>
            <a:spLocks/>
          </xdr:cNvSpPr>
        </xdr:nvSpPr>
        <xdr:spPr>
          <a:xfrm flipV="1">
            <a:off x="844" y="589"/>
            <a:ext cx="13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542925</xdr:colOff>
      <xdr:row>31</xdr:row>
      <xdr:rowOff>133350</xdr:rowOff>
    </xdr:from>
    <xdr:to>
      <xdr:col>13</xdr:col>
      <xdr:colOff>142875</xdr:colOff>
      <xdr:row>33</xdr:row>
      <xdr:rowOff>28575</xdr:rowOff>
    </xdr:to>
    <xdr:grpSp>
      <xdr:nvGrpSpPr>
        <xdr:cNvPr id="27" name="Group 50"/>
        <xdr:cNvGrpSpPr>
          <a:grpSpLocks/>
        </xdr:cNvGrpSpPr>
      </xdr:nvGrpSpPr>
      <xdr:grpSpPr>
        <a:xfrm>
          <a:off x="7943850" y="5867400"/>
          <a:ext cx="209550" cy="219075"/>
          <a:chOff x="838" y="584"/>
          <a:chExt cx="22" cy="23"/>
        </a:xfrm>
        <a:solidFill>
          <a:srgbClr val="FFFFFF"/>
        </a:solidFill>
      </xdr:grpSpPr>
      <xdr:sp>
        <xdr:nvSpPr>
          <xdr:cNvPr id="28" name="Oval 51"/>
          <xdr:cNvSpPr>
            <a:spLocks/>
          </xdr:cNvSpPr>
        </xdr:nvSpPr>
        <xdr:spPr>
          <a:xfrm>
            <a:off x="838" y="584"/>
            <a:ext cx="22" cy="23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52"/>
          <xdr:cNvSpPr>
            <a:spLocks/>
          </xdr:cNvSpPr>
        </xdr:nvSpPr>
        <xdr:spPr>
          <a:xfrm flipV="1">
            <a:off x="844" y="589"/>
            <a:ext cx="13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542925</xdr:colOff>
      <xdr:row>34</xdr:row>
      <xdr:rowOff>9525</xdr:rowOff>
    </xdr:from>
    <xdr:to>
      <xdr:col>13</xdr:col>
      <xdr:colOff>142875</xdr:colOff>
      <xdr:row>35</xdr:row>
      <xdr:rowOff>28575</xdr:rowOff>
    </xdr:to>
    <xdr:grpSp>
      <xdr:nvGrpSpPr>
        <xdr:cNvPr id="30" name="Group 53"/>
        <xdr:cNvGrpSpPr>
          <a:grpSpLocks/>
        </xdr:cNvGrpSpPr>
      </xdr:nvGrpSpPr>
      <xdr:grpSpPr>
        <a:xfrm>
          <a:off x="7943850" y="6229350"/>
          <a:ext cx="209550" cy="219075"/>
          <a:chOff x="838" y="584"/>
          <a:chExt cx="22" cy="23"/>
        </a:xfrm>
        <a:solidFill>
          <a:srgbClr val="FFFFFF"/>
        </a:solidFill>
      </xdr:grpSpPr>
      <xdr:sp>
        <xdr:nvSpPr>
          <xdr:cNvPr id="31" name="Oval 54"/>
          <xdr:cNvSpPr>
            <a:spLocks/>
          </xdr:cNvSpPr>
        </xdr:nvSpPr>
        <xdr:spPr>
          <a:xfrm>
            <a:off x="838" y="584"/>
            <a:ext cx="22" cy="23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5"/>
          <xdr:cNvSpPr>
            <a:spLocks/>
          </xdr:cNvSpPr>
        </xdr:nvSpPr>
        <xdr:spPr>
          <a:xfrm flipV="1">
            <a:off x="844" y="589"/>
            <a:ext cx="13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142875</xdr:colOff>
      <xdr:row>30</xdr:row>
      <xdr:rowOff>114300</xdr:rowOff>
    </xdr:from>
    <xdr:to>
      <xdr:col>12</xdr:col>
      <xdr:colOff>542925</xdr:colOff>
      <xdr:row>30</xdr:row>
      <xdr:rowOff>114300</xdr:rowOff>
    </xdr:to>
    <xdr:sp>
      <xdr:nvSpPr>
        <xdr:cNvPr id="33" name="Line 56"/>
        <xdr:cNvSpPr>
          <a:spLocks/>
        </xdr:cNvSpPr>
      </xdr:nvSpPr>
      <xdr:spPr>
        <a:xfrm>
          <a:off x="7543800" y="5619750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32</xdr:row>
      <xdr:rowOff>85725</xdr:rowOff>
    </xdr:from>
    <xdr:to>
      <xdr:col>12</xdr:col>
      <xdr:colOff>514350</xdr:colOff>
      <xdr:row>32</xdr:row>
      <xdr:rowOff>85725</xdr:rowOff>
    </xdr:to>
    <xdr:sp>
      <xdr:nvSpPr>
        <xdr:cNvPr id="34" name="Line 58"/>
        <xdr:cNvSpPr>
          <a:spLocks/>
        </xdr:cNvSpPr>
      </xdr:nvSpPr>
      <xdr:spPr>
        <a:xfrm>
          <a:off x="7515225" y="5981700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34</xdr:row>
      <xdr:rowOff>114300</xdr:rowOff>
    </xdr:from>
    <xdr:to>
      <xdr:col>12</xdr:col>
      <xdr:colOff>514350</xdr:colOff>
      <xdr:row>34</xdr:row>
      <xdr:rowOff>114300</xdr:rowOff>
    </xdr:to>
    <xdr:sp>
      <xdr:nvSpPr>
        <xdr:cNvPr id="35" name="Line 59"/>
        <xdr:cNvSpPr>
          <a:spLocks/>
        </xdr:cNvSpPr>
      </xdr:nvSpPr>
      <xdr:spPr>
        <a:xfrm>
          <a:off x="7515225" y="6334125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30</xdr:row>
      <xdr:rowOff>114300</xdr:rowOff>
    </xdr:from>
    <xdr:to>
      <xdr:col>12</xdr:col>
      <xdr:colOff>276225</xdr:colOff>
      <xdr:row>32</xdr:row>
      <xdr:rowOff>95250</xdr:rowOff>
    </xdr:to>
    <xdr:sp>
      <xdr:nvSpPr>
        <xdr:cNvPr id="36" name="Line 60"/>
        <xdr:cNvSpPr>
          <a:spLocks/>
        </xdr:cNvSpPr>
      </xdr:nvSpPr>
      <xdr:spPr>
        <a:xfrm>
          <a:off x="7677150" y="5619750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25</xdr:row>
      <xdr:rowOff>95250</xdr:rowOff>
    </xdr:from>
    <xdr:to>
      <xdr:col>12</xdr:col>
      <xdr:colOff>276225</xdr:colOff>
      <xdr:row>30</xdr:row>
      <xdr:rowOff>104775</xdr:rowOff>
    </xdr:to>
    <xdr:sp>
      <xdr:nvSpPr>
        <xdr:cNvPr id="37" name="Line 61"/>
        <xdr:cNvSpPr>
          <a:spLocks/>
        </xdr:cNvSpPr>
      </xdr:nvSpPr>
      <xdr:spPr>
        <a:xfrm>
          <a:off x="7677150" y="4714875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32</xdr:row>
      <xdr:rowOff>28575</xdr:rowOff>
    </xdr:from>
    <xdr:to>
      <xdr:col>14</xdr:col>
      <xdr:colOff>352425</xdr:colOff>
      <xdr:row>34</xdr:row>
      <xdr:rowOff>0</xdr:rowOff>
    </xdr:to>
    <xdr:sp>
      <xdr:nvSpPr>
        <xdr:cNvPr id="38" name="TextBox 64"/>
        <xdr:cNvSpPr txBox="1">
          <a:spLocks noChangeArrowheads="1"/>
        </xdr:cNvSpPr>
      </xdr:nvSpPr>
      <xdr:spPr>
        <a:xfrm>
          <a:off x="8220075" y="5924550"/>
          <a:ext cx="7524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Vis M3 ou M4
laiton ou metal</a:t>
          </a:r>
        </a:p>
      </xdr:txBody>
    </xdr:sp>
    <xdr:clientData/>
  </xdr:twoCellAnchor>
  <xdr:twoCellAnchor>
    <xdr:from>
      <xdr:col>12</xdr:col>
      <xdr:colOff>57150</xdr:colOff>
      <xdr:row>46</xdr:row>
      <xdr:rowOff>142875</xdr:rowOff>
    </xdr:from>
    <xdr:to>
      <xdr:col>12</xdr:col>
      <xdr:colOff>457200</xdr:colOff>
      <xdr:row>50</xdr:row>
      <xdr:rowOff>9525</xdr:rowOff>
    </xdr:to>
    <xdr:sp>
      <xdr:nvSpPr>
        <xdr:cNvPr id="39" name="Rectangle 83"/>
        <xdr:cNvSpPr>
          <a:spLocks/>
        </xdr:cNvSpPr>
      </xdr:nvSpPr>
      <xdr:spPr>
        <a:xfrm>
          <a:off x="7458075" y="8420100"/>
          <a:ext cx="400050" cy="514350"/>
        </a:xfrm>
        <a:prstGeom prst="rect">
          <a:avLst/>
        </a:prstGeom>
        <a:pattFill prst="wdUpDiag">
          <a:fgClr>
            <a:srgbClr val="333333"/>
          </a:fgClr>
          <a:bgClr>
            <a:srgbClr val="FFFFFF"/>
          </a:bgClr>
        </a:patt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48</xdr:row>
      <xdr:rowOff>66675</xdr:rowOff>
    </xdr:from>
    <xdr:to>
      <xdr:col>13</xdr:col>
      <xdr:colOff>438150</xdr:colOff>
      <xdr:row>48</xdr:row>
      <xdr:rowOff>104775</xdr:rowOff>
    </xdr:to>
    <xdr:sp>
      <xdr:nvSpPr>
        <xdr:cNvPr id="40" name="Rectangle 84"/>
        <xdr:cNvSpPr>
          <a:spLocks/>
        </xdr:cNvSpPr>
      </xdr:nvSpPr>
      <xdr:spPr>
        <a:xfrm>
          <a:off x="8001000" y="8667750"/>
          <a:ext cx="447675" cy="38100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47</xdr:row>
      <xdr:rowOff>47625</xdr:rowOff>
    </xdr:from>
    <xdr:to>
      <xdr:col>13</xdr:col>
      <xdr:colOff>9525</xdr:colOff>
      <xdr:row>49</xdr:row>
      <xdr:rowOff>123825</xdr:rowOff>
    </xdr:to>
    <xdr:sp>
      <xdr:nvSpPr>
        <xdr:cNvPr id="41" name="Rectangle 85"/>
        <xdr:cNvSpPr>
          <a:spLocks/>
        </xdr:cNvSpPr>
      </xdr:nvSpPr>
      <xdr:spPr>
        <a:xfrm>
          <a:off x="7867650" y="8486775"/>
          <a:ext cx="152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48</xdr:row>
      <xdr:rowOff>76200</xdr:rowOff>
    </xdr:from>
    <xdr:to>
      <xdr:col>14</xdr:col>
      <xdr:colOff>171450</xdr:colOff>
      <xdr:row>48</xdr:row>
      <xdr:rowOff>76200</xdr:rowOff>
    </xdr:to>
    <xdr:sp>
      <xdr:nvSpPr>
        <xdr:cNvPr id="42" name="Line 86"/>
        <xdr:cNvSpPr>
          <a:spLocks/>
        </xdr:cNvSpPr>
      </xdr:nvSpPr>
      <xdr:spPr>
        <a:xfrm>
          <a:off x="7086600" y="8677275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48</xdr:row>
      <xdr:rowOff>123825</xdr:rowOff>
    </xdr:from>
    <xdr:to>
      <xdr:col>13</xdr:col>
      <xdr:colOff>447675</xdr:colOff>
      <xdr:row>51</xdr:row>
      <xdr:rowOff>57150</xdr:rowOff>
    </xdr:to>
    <xdr:sp>
      <xdr:nvSpPr>
        <xdr:cNvPr id="43" name="Line 87"/>
        <xdr:cNvSpPr>
          <a:spLocks/>
        </xdr:cNvSpPr>
      </xdr:nvSpPr>
      <xdr:spPr>
        <a:xfrm>
          <a:off x="8458200" y="8724900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49</xdr:row>
      <xdr:rowOff>76200</xdr:rowOff>
    </xdr:from>
    <xdr:to>
      <xdr:col>13</xdr:col>
      <xdr:colOff>9525</xdr:colOff>
      <xdr:row>50</xdr:row>
      <xdr:rowOff>152400</xdr:rowOff>
    </xdr:to>
    <xdr:sp>
      <xdr:nvSpPr>
        <xdr:cNvPr id="44" name="Line 88"/>
        <xdr:cNvSpPr>
          <a:spLocks/>
        </xdr:cNvSpPr>
      </xdr:nvSpPr>
      <xdr:spPr>
        <a:xfrm>
          <a:off x="8020050" y="88392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50</xdr:row>
      <xdr:rowOff>104775</xdr:rowOff>
    </xdr:from>
    <xdr:to>
      <xdr:col>13</xdr:col>
      <xdr:colOff>428625</xdr:colOff>
      <xdr:row>50</xdr:row>
      <xdr:rowOff>104775</xdr:rowOff>
    </xdr:to>
    <xdr:sp>
      <xdr:nvSpPr>
        <xdr:cNvPr id="45" name="Line 89"/>
        <xdr:cNvSpPr>
          <a:spLocks/>
        </xdr:cNvSpPr>
      </xdr:nvSpPr>
      <xdr:spPr>
        <a:xfrm>
          <a:off x="8029575" y="9029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46</xdr:row>
      <xdr:rowOff>104775</xdr:rowOff>
    </xdr:from>
    <xdr:to>
      <xdr:col>13</xdr:col>
      <xdr:colOff>476250</xdr:colOff>
      <xdr:row>48</xdr:row>
      <xdr:rowOff>28575</xdr:rowOff>
    </xdr:to>
    <xdr:sp>
      <xdr:nvSpPr>
        <xdr:cNvPr id="46" name="Line 90"/>
        <xdr:cNvSpPr>
          <a:spLocks/>
        </xdr:cNvSpPr>
      </xdr:nvSpPr>
      <xdr:spPr>
        <a:xfrm flipV="1">
          <a:off x="8286750" y="8382000"/>
          <a:ext cx="200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76200</xdr:colOff>
      <xdr:row>44</xdr:row>
      <xdr:rowOff>152400</xdr:rowOff>
    </xdr:from>
    <xdr:ext cx="971550" cy="200025"/>
    <xdr:sp>
      <xdr:nvSpPr>
        <xdr:cNvPr id="47" name="TextBox 91"/>
        <xdr:cNvSpPr txBox="1">
          <a:spLocks noChangeArrowheads="1"/>
        </xdr:cNvSpPr>
      </xdr:nvSpPr>
      <xdr:spPr>
        <a:xfrm>
          <a:off x="7477125" y="8105775"/>
          <a:ext cx="971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Prise N ou SMA</a:t>
          </a:r>
        </a:p>
      </xdr:txBody>
    </xdr:sp>
    <xdr:clientData/>
  </xdr:oneCellAnchor>
  <xdr:oneCellAnchor>
    <xdr:from>
      <xdr:col>6</xdr:col>
      <xdr:colOff>9525</xdr:colOff>
      <xdr:row>43</xdr:row>
      <xdr:rowOff>142875</xdr:rowOff>
    </xdr:from>
    <xdr:ext cx="76200" cy="180975"/>
    <xdr:sp>
      <xdr:nvSpPr>
        <xdr:cNvPr id="48" name="TextBox 92"/>
        <xdr:cNvSpPr txBox="1">
          <a:spLocks noChangeArrowheads="1"/>
        </xdr:cNvSpPr>
      </xdr:nvSpPr>
      <xdr:spPr>
        <a:xfrm>
          <a:off x="4305300" y="793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438150</xdr:colOff>
      <xdr:row>39</xdr:row>
      <xdr:rowOff>95250</xdr:rowOff>
    </xdr:from>
    <xdr:to>
      <xdr:col>13</xdr:col>
      <xdr:colOff>257175</xdr:colOff>
      <xdr:row>41</xdr:row>
      <xdr:rowOff>190500</xdr:rowOff>
    </xdr:to>
    <xdr:sp>
      <xdr:nvSpPr>
        <xdr:cNvPr id="49" name="Oval 93"/>
        <xdr:cNvSpPr>
          <a:spLocks/>
        </xdr:cNvSpPr>
      </xdr:nvSpPr>
      <xdr:spPr>
        <a:xfrm>
          <a:off x="7839075" y="720090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40</xdr:row>
      <xdr:rowOff>104775</xdr:rowOff>
    </xdr:from>
    <xdr:to>
      <xdr:col>13</xdr:col>
      <xdr:colOff>85725</xdr:colOff>
      <xdr:row>41</xdr:row>
      <xdr:rowOff>28575</xdr:rowOff>
    </xdr:to>
    <xdr:sp>
      <xdr:nvSpPr>
        <xdr:cNvPr id="50" name="Oval 94"/>
        <xdr:cNvSpPr>
          <a:spLocks/>
        </xdr:cNvSpPr>
      </xdr:nvSpPr>
      <xdr:spPr>
        <a:xfrm>
          <a:off x="8020050" y="7372350"/>
          <a:ext cx="762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40</xdr:row>
      <xdr:rowOff>142875</xdr:rowOff>
    </xdr:from>
    <xdr:to>
      <xdr:col>14</xdr:col>
      <xdr:colOff>95250</xdr:colOff>
      <xdr:row>40</xdr:row>
      <xdr:rowOff>142875</xdr:rowOff>
    </xdr:to>
    <xdr:sp>
      <xdr:nvSpPr>
        <xdr:cNvPr id="51" name="Line 97"/>
        <xdr:cNvSpPr>
          <a:spLocks/>
        </xdr:cNvSpPr>
      </xdr:nvSpPr>
      <xdr:spPr>
        <a:xfrm>
          <a:off x="8286750" y="7410450"/>
          <a:ext cx="428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40</xdr:row>
      <xdr:rowOff>142875</xdr:rowOff>
    </xdr:from>
    <xdr:to>
      <xdr:col>13</xdr:col>
      <xdr:colOff>514350</xdr:colOff>
      <xdr:row>43</xdr:row>
      <xdr:rowOff>142875</xdr:rowOff>
    </xdr:to>
    <xdr:sp>
      <xdr:nvSpPr>
        <xdr:cNvPr id="52" name="Line 98"/>
        <xdr:cNvSpPr>
          <a:spLocks/>
        </xdr:cNvSpPr>
      </xdr:nvSpPr>
      <xdr:spPr>
        <a:xfrm flipH="1">
          <a:off x="8524875" y="74104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76200</xdr:colOff>
      <xdr:row>51</xdr:row>
      <xdr:rowOff>38100</xdr:rowOff>
    </xdr:from>
    <xdr:ext cx="304800" cy="200025"/>
    <xdr:sp>
      <xdr:nvSpPr>
        <xdr:cNvPr id="53" name="TextBox 100"/>
        <xdr:cNvSpPr txBox="1">
          <a:spLocks noChangeArrowheads="1"/>
        </xdr:cNvSpPr>
      </xdr:nvSpPr>
      <xdr:spPr>
        <a:xfrm>
          <a:off x="8086725" y="9124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long</a:t>
          </a:r>
        </a:p>
      </xdr:txBody>
    </xdr:sp>
    <xdr:clientData/>
  </xdr:oneCellAnchor>
  <xdr:twoCellAnchor>
    <xdr:from>
      <xdr:col>12</xdr:col>
      <xdr:colOff>485775</xdr:colOff>
      <xdr:row>45</xdr:row>
      <xdr:rowOff>123825</xdr:rowOff>
    </xdr:from>
    <xdr:to>
      <xdr:col>13</xdr:col>
      <xdr:colOff>0</xdr:colOff>
      <xdr:row>47</xdr:row>
      <xdr:rowOff>38100</xdr:rowOff>
    </xdr:to>
    <xdr:sp>
      <xdr:nvSpPr>
        <xdr:cNvPr id="54" name="Rectangle 102"/>
        <xdr:cNvSpPr>
          <a:spLocks/>
        </xdr:cNvSpPr>
      </xdr:nvSpPr>
      <xdr:spPr>
        <a:xfrm>
          <a:off x="7886700" y="8239125"/>
          <a:ext cx="123825" cy="238125"/>
        </a:xfrm>
        <a:prstGeom prst="rect">
          <a:avLst/>
        </a:prstGeom>
        <a:pattFill prst="wdDnDiag">
          <a:fgClr>
            <a:srgbClr val="3333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49</xdr:row>
      <xdr:rowOff>133350</xdr:rowOff>
    </xdr:from>
    <xdr:to>
      <xdr:col>13</xdr:col>
      <xdr:colOff>0</xdr:colOff>
      <xdr:row>51</xdr:row>
      <xdr:rowOff>47625</xdr:rowOff>
    </xdr:to>
    <xdr:sp>
      <xdr:nvSpPr>
        <xdr:cNvPr id="55" name="Rectangle 103"/>
        <xdr:cNvSpPr>
          <a:spLocks/>
        </xdr:cNvSpPr>
      </xdr:nvSpPr>
      <xdr:spPr>
        <a:xfrm>
          <a:off x="7886700" y="8896350"/>
          <a:ext cx="123825" cy="238125"/>
        </a:xfrm>
        <a:prstGeom prst="rect">
          <a:avLst/>
        </a:prstGeom>
        <a:pattFill prst="wdDnDiag">
          <a:fgClr>
            <a:srgbClr val="3333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32</xdr:row>
      <xdr:rowOff>85725</xdr:rowOff>
    </xdr:from>
    <xdr:to>
      <xdr:col>12</xdr:col>
      <xdr:colOff>276225</xdr:colOff>
      <xdr:row>34</xdr:row>
      <xdr:rowOff>114300</xdr:rowOff>
    </xdr:to>
    <xdr:sp>
      <xdr:nvSpPr>
        <xdr:cNvPr id="56" name="Line 104"/>
        <xdr:cNvSpPr>
          <a:spLocks/>
        </xdr:cNvSpPr>
      </xdr:nvSpPr>
      <xdr:spPr>
        <a:xfrm>
          <a:off x="7677150" y="5981700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17</xdr:row>
      <xdr:rowOff>66675</xdr:rowOff>
    </xdr:from>
    <xdr:to>
      <xdr:col>12</xdr:col>
      <xdr:colOff>361950</xdr:colOff>
      <xdr:row>17</xdr:row>
      <xdr:rowOff>66675</xdr:rowOff>
    </xdr:to>
    <xdr:sp>
      <xdr:nvSpPr>
        <xdr:cNvPr id="57" name="Line 106"/>
        <xdr:cNvSpPr>
          <a:spLocks/>
        </xdr:cNvSpPr>
      </xdr:nvSpPr>
      <xdr:spPr>
        <a:xfrm>
          <a:off x="7524750" y="339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17</xdr:row>
      <xdr:rowOff>66675</xdr:rowOff>
    </xdr:from>
    <xdr:to>
      <xdr:col>12</xdr:col>
      <xdr:colOff>504825</xdr:colOff>
      <xdr:row>17</xdr:row>
      <xdr:rowOff>66675</xdr:rowOff>
    </xdr:to>
    <xdr:sp>
      <xdr:nvSpPr>
        <xdr:cNvPr id="58" name="Line 107"/>
        <xdr:cNvSpPr>
          <a:spLocks/>
        </xdr:cNvSpPr>
      </xdr:nvSpPr>
      <xdr:spPr>
        <a:xfrm>
          <a:off x="7743825" y="33909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15</xdr:row>
      <xdr:rowOff>85725</xdr:rowOff>
    </xdr:from>
    <xdr:to>
      <xdr:col>12</xdr:col>
      <xdr:colOff>257175</xdr:colOff>
      <xdr:row>20</xdr:row>
      <xdr:rowOff>0</xdr:rowOff>
    </xdr:to>
    <xdr:sp>
      <xdr:nvSpPr>
        <xdr:cNvPr id="59" name="Line 108"/>
        <xdr:cNvSpPr>
          <a:spLocks/>
        </xdr:cNvSpPr>
      </xdr:nvSpPr>
      <xdr:spPr>
        <a:xfrm>
          <a:off x="7658100" y="3009900"/>
          <a:ext cx="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40</xdr:row>
      <xdr:rowOff>152400</xdr:rowOff>
    </xdr:from>
    <xdr:to>
      <xdr:col>13</xdr:col>
      <xdr:colOff>57150</xdr:colOff>
      <xdr:row>40</xdr:row>
      <xdr:rowOff>152400</xdr:rowOff>
    </xdr:to>
    <xdr:sp>
      <xdr:nvSpPr>
        <xdr:cNvPr id="60" name="Line 110"/>
        <xdr:cNvSpPr>
          <a:spLocks/>
        </xdr:cNvSpPr>
      </xdr:nvSpPr>
      <xdr:spPr>
        <a:xfrm flipH="1">
          <a:off x="7496175" y="7419975"/>
          <a:ext cx="571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34</xdr:row>
      <xdr:rowOff>133350</xdr:rowOff>
    </xdr:from>
    <xdr:to>
      <xdr:col>12</xdr:col>
      <xdr:colOff>276225</xdr:colOff>
      <xdr:row>40</xdr:row>
      <xdr:rowOff>152400</xdr:rowOff>
    </xdr:to>
    <xdr:sp>
      <xdr:nvSpPr>
        <xdr:cNvPr id="61" name="Line 111"/>
        <xdr:cNvSpPr>
          <a:spLocks/>
        </xdr:cNvSpPr>
      </xdr:nvSpPr>
      <xdr:spPr>
        <a:xfrm>
          <a:off x="7677150" y="6353175"/>
          <a:ext cx="0" cy="10668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25</xdr:row>
      <xdr:rowOff>95250</xdr:rowOff>
    </xdr:from>
    <xdr:to>
      <xdr:col>13</xdr:col>
      <xdr:colOff>247650</xdr:colOff>
      <xdr:row>25</xdr:row>
      <xdr:rowOff>95250</xdr:rowOff>
    </xdr:to>
    <xdr:sp>
      <xdr:nvSpPr>
        <xdr:cNvPr id="62" name="Line 112"/>
        <xdr:cNvSpPr>
          <a:spLocks/>
        </xdr:cNvSpPr>
      </xdr:nvSpPr>
      <xdr:spPr>
        <a:xfrm flipH="1">
          <a:off x="7334250" y="4714875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31">
      <selection activeCell="G5" sqref="G5"/>
    </sheetView>
  </sheetViews>
  <sheetFormatPr defaultColWidth="11.421875" defaultRowHeight="12.75"/>
  <cols>
    <col min="1" max="1" width="36.57421875" style="0" customWidth="1"/>
    <col min="2" max="2" width="7.140625" style="0" customWidth="1"/>
    <col min="3" max="3" width="4.28125" style="0" customWidth="1"/>
    <col min="4" max="4" width="8.140625" style="0" customWidth="1"/>
    <col min="5" max="5" width="4.421875" style="0" customWidth="1"/>
    <col min="6" max="6" width="3.8515625" style="0" customWidth="1"/>
    <col min="7" max="7" width="9.8515625" style="0" bestFit="1" customWidth="1"/>
    <col min="8" max="8" width="4.57421875" style="0" customWidth="1"/>
    <col min="9" max="9" width="9.140625" style="0" customWidth="1"/>
    <col min="10" max="10" width="4.7109375" style="0" customWidth="1"/>
    <col min="11" max="14" width="9.140625" style="0" customWidth="1"/>
    <col min="15" max="15" width="5.57421875" style="0" bestFit="1" customWidth="1"/>
    <col min="16" max="16" width="9.421875" style="0" customWidth="1"/>
    <col min="17" max="16384" width="9.140625" style="0" customWidth="1"/>
  </cols>
  <sheetData>
    <row r="1" spans="1:11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6" ht="20.25">
      <c r="A2" s="26"/>
      <c r="B2" s="27" t="s">
        <v>31</v>
      </c>
      <c r="C2" s="28"/>
      <c r="D2" s="29"/>
      <c r="E2" s="29"/>
      <c r="F2" s="29"/>
      <c r="G2" s="29"/>
      <c r="H2" s="29"/>
      <c r="I2" s="29"/>
      <c r="J2" s="29"/>
      <c r="K2" s="30"/>
      <c r="O2" s="10"/>
      <c r="P2" s="5"/>
    </row>
    <row r="3" spans="1:16" ht="12.75">
      <c r="A3" s="26"/>
      <c r="B3" s="29"/>
      <c r="C3" s="29"/>
      <c r="D3" s="31" t="s">
        <v>65</v>
      </c>
      <c r="E3" s="29"/>
      <c r="F3" s="29"/>
      <c r="G3" s="29"/>
      <c r="H3" s="29"/>
      <c r="I3" s="29"/>
      <c r="J3" s="29"/>
      <c r="K3" s="30"/>
      <c r="L3" s="5"/>
      <c r="M3" s="5"/>
      <c r="N3" s="5"/>
      <c r="O3" s="5"/>
      <c r="P3" s="5"/>
    </row>
    <row r="4" spans="1:16" ht="12.75">
      <c r="A4" s="26"/>
      <c r="B4" s="29"/>
      <c r="C4" s="29"/>
      <c r="D4" s="32"/>
      <c r="E4" s="29"/>
      <c r="F4" s="29"/>
      <c r="G4" s="29"/>
      <c r="H4" s="29"/>
      <c r="I4" s="29"/>
      <c r="J4" s="29"/>
      <c r="K4" s="30"/>
      <c r="L4" s="5"/>
      <c r="M4" s="5"/>
      <c r="N4" s="5"/>
      <c r="O4" s="5"/>
      <c r="P4" s="5"/>
    </row>
    <row r="5" spans="1:16" ht="18">
      <c r="A5" s="33" t="s">
        <v>42</v>
      </c>
      <c r="B5" s="34"/>
      <c r="C5" s="34"/>
      <c r="D5" s="34"/>
      <c r="E5" s="35"/>
      <c r="F5" s="35"/>
      <c r="G5" s="34"/>
      <c r="H5" s="34"/>
      <c r="I5" s="34"/>
      <c r="J5" s="29"/>
      <c r="K5" s="30"/>
      <c r="L5" s="5"/>
      <c r="M5" s="5"/>
      <c r="N5" s="5"/>
      <c r="O5" s="5"/>
      <c r="P5" s="5"/>
    </row>
    <row r="6" spans="1:16" ht="12.75">
      <c r="A6" s="26"/>
      <c r="B6" s="29"/>
      <c r="C6" s="29"/>
      <c r="D6" s="32"/>
      <c r="E6" s="29"/>
      <c r="F6" s="29"/>
      <c r="G6" s="29"/>
      <c r="H6" s="29"/>
      <c r="I6" s="29"/>
      <c r="J6" s="29"/>
      <c r="K6" s="30"/>
      <c r="L6" s="5"/>
      <c r="M6" s="5"/>
      <c r="N6" s="22">
        <f>G21</f>
        <v>44.86991614304569</v>
      </c>
      <c r="O6" s="5"/>
      <c r="P6" s="5"/>
    </row>
    <row r="7" spans="1:16" s="4" customFormat="1" ht="15.75">
      <c r="A7" s="36" t="s">
        <v>43</v>
      </c>
      <c r="B7" s="37"/>
      <c r="C7" s="37"/>
      <c r="D7" s="38"/>
      <c r="E7" s="37"/>
      <c r="F7" s="37"/>
      <c r="G7" s="37"/>
      <c r="H7" s="37"/>
      <c r="I7" s="37"/>
      <c r="J7" s="37"/>
      <c r="K7" s="39"/>
      <c r="L7" s="6"/>
      <c r="M7" s="6"/>
      <c r="N7" s="14" t="s">
        <v>30</v>
      </c>
      <c r="O7" s="6"/>
      <c r="P7" s="6"/>
    </row>
    <row r="8" spans="1:16" ht="15.75">
      <c r="A8" s="40" t="s">
        <v>47</v>
      </c>
      <c r="B8" s="41" t="s">
        <v>21</v>
      </c>
      <c r="C8" s="29" t="s">
        <v>21</v>
      </c>
      <c r="D8" s="42">
        <v>2.335</v>
      </c>
      <c r="E8" s="29" t="s">
        <v>5</v>
      </c>
      <c r="F8" s="29"/>
      <c r="G8" s="29"/>
      <c r="H8" s="29"/>
      <c r="I8" s="29"/>
      <c r="J8" s="29"/>
      <c r="K8" s="30"/>
      <c r="L8" s="5"/>
      <c r="M8" s="5"/>
      <c r="N8" s="22">
        <f>G22</f>
        <v>134.60974842913708</v>
      </c>
      <c r="O8" s="5"/>
      <c r="P8" s="5"/>
    </row>
    <row r="9" spans="1:16" ht="15.75">
      <c r="A9" s="40" t="s">
        <v>48</v>
      </c>
      <c r="B9" s="29"/>
      <c r="C9" s="29" t="s">
        <v>21</v>
      </c>
      <c r="D9" s="43">
        <v>92</v>
      </c>
      <c r="E9" s="29" t="s">
        <v>6</v>
      </c>
      <c r="F9" s="29"/>
      <c r="G9" s="44" t="s">
        <v>21</v>
      </c>
      <c r="H9" s="29" t="s">
        <v>21</v>
      </c>
      <c r="I9" s="29"/>
      <c r="J9" s="29"/>
      <c r="K9" s="30"/>
      <c r="L9" s="5"/>
      <c r="M9" s="5"/>
      <c r="N9" s="5"/>
      <c r="O9" s="5"/>
      <c r="P9" s="5"/>
    </row>
    <row r="10" spans="1:16" ht="15.75">
      <c r="A10" s="40" t="s">
        <v>49</v>
      </c>
      <c r="B10" s="29"/>
      <c r="C10" s="29" t="s">
        <v>21</v>
      </c>
      <c r="D10" s="43">
        <v>32</v>
      </c>
      <c r="E10" s="29" t="s">
        <v>6</v>
      </c>
      <c r="F10" s="29"/>
      <c r="G10" s="44" t="s">
        <v>21</v>
      </c>
      <c r="H10" s="29" t="s">
        <v>21</v>
      </c>
      <c r="I10" s="29"/>
      <c r="J10" s="29"/>
      <c r="K10" s="30"/>
      <c r="L10" s="5"/>
      <c r="M10" s="5"/>
      <c r="N10" s="5"/>
      <c r="O10" s="5"/>
      <c r="P10" s="5"/>
    </row>
    <row r="11" spans="1:16" ht="15.75">
      <c r="A11" s="40" t="s">
        <v>50</v>
      </c>
      <c r="B11" s="29"/>
      <c r="C11" s="29"/>
      <c r="D11" s="43">
        <v>18</v>
      </c>
      <c r="E11" s="45" t="s">
        <v>52</v>
      </c>
      <c r="F11" s="46"/>
      <c r="G11" s="46"/>
      <c r="H11" s="29"/>
      <c r="I11" s="29"/>
      <c r="J11" s="29"/>
      <c r="K11" s="30"/>
      <c r="L11" s="5"/>
      <c r="M11" s="5"/>
      <c r="N11" s="5"/>
      <c r="O11" s="5"/>
      <c r="P11" s="5"/>
    </row>
    <row r="12" spans="1:16" ht="15.75">
      <c r="A12" s="40"/>
      <c r="B12" s="29"/>
      <c r="C12" s="29"/>
      <c r="D12" s="47"/>
      <c r="E12" s="46"/>
      <c r="F12" s="46"/>
      <c r="G12" s="46"/>
      <c r="H12" s="29"/>
      <c r="I12" s="29"/>
      <c r="J12" s="29"/>
      <c r="K12" s="30"/>
      <c r="L12" s="11">
        <f>G18</f>
        <v>62.28428176669809</v>
      </c>
      <c r="M12" s="5"/>
      <c r="N12" s="5"/>
      <c r="O12" s="5"/>
      <c r="P12" s="5"/>
    </row>
    <row r="13" spans="1:16" ht="15.75">
      <c r="A13" s="48" t="s">
        <v>45</v>
      </c>
      <c r="B13" s="96" t="s">
        <v>22</v>
      </c>
      <c r="C13" s="97" t="s">
        <v>21</v>
      </c>
      <c r="D13" s="98">
        <f>10*LOG((Nslots/2)*lam_guide/lam_zero)</f>
        <v>10.994233888348123</v>
      </c>
      <c r="E13" s="97" t="s">
        <v>18</v>
      </c>
      <c r="F13" s="99"/>
      <c r="G13" s="100" t="s">
        <v>20</v>
      </c>
      <c r="H13" s="97"/>
      <c r="I13" s="98">
        <f>50.7*lam_zero/((Nslots/2)*(lam_guide/2))</f>
        <v>8.065189316482353</v>
      </c>
      <c r="J13" s="97" t="s">
        <v>19</v>
      </c>
      <c r="K13" s="30"/>
      <c r="L13" s="5"/>
      <c r="M13" s="5"/>
      <c r="N13" s="5"/>
      <c r="O13" s="5"/>
      <c r="P13" s="5"/>
    </row>
    <row r="14" spans="1:16" ht="12.75">
      <c r="A14" s="26"/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5"/>
      <c r="M14" s="5"/>
      <c r="N14" s="5"/>
      <c r="O14" s="5"/>
      <c r="P14" s="5"/>
    </row>
    <row r="15" spans="1:16" ht="18">
      <c r="A15" s="49" t="s">
        <v>44</v>
      </c>
      <c r="B15" s="50"/>
      <c r="C15" s="29"/>
      <c r="D15" s="51"/>
      <c r="E15" s="29"/>
      <c r="F15" s="29"/>
      <c r="G15" s="29"/>
      <c r="H15" s="29"/>
      <c r="I15" s="29"/>
      <c r="J15" s="29"/>
      <c r="K15" s="30"/>
      <c r="L15" s="5"/>
      <c r="M15" s="5"/>
      <c r="N15" s="5"/>
      <c r="O15" s="5"/>
      <c r="P15" s="5"/>
    </row>
    <row r="16" spans="1:16" ht="18.75">
      <c r="A16" s="52"/>
      <c r="B16" s="53" t="s">
        <v>8</v>
      </c>
      <c r="C16" s="54"/>
      <c r="D16" s="55"/>
      <c r="E16" s="56"/>
      <c r="F16" s="56"/>
      <c r="G16" s="57" t="s">
        <v>9</v>
      </c>
      <c r="H16" s="56"/>
      <c r="I16" s="56"/>
      <c r="J16" s="29"/>
      <c r="K16" s="30"/>
      <c r="L16" s="5"/>
      <c r="M16" s="5"/>
      <c r="N16" s="5"/>
      <c r="O16" s="5"/>
      <c r="P16" s="5"/>
    </row>
    <row r="17" spans="1:16" s="2" customFormat="1" ht="12.75">
      <c r="A17" s="58" t="s">
        <v>53</v>
      </c>
      <c r="B17" s="59">
        <f>Slot_disp</f>
        <v>5.519599731222371</v>
      </c>
      <c r="C17" s="29" t="s">
        <v>6</v>
      </c>
      <c r="D17" s="51"/>
      <c r="E17" s="29"/>
      <c r="F17" s="60"/>
      <c r="G17" s="101">
        <f>New_slot_disp</f>
        <v>6.104205935533614</v>
      </c>
      <c r="H17" s="61" t="s">
        <v>6</v>
      </c>
      <c r="I17" s="62"/>
      <c r="J17" s="61"/>
      <c r="K17" s="63"/>
      <c r="L17" s="7"/>
      <c r="M17" s="7"/>
      <c r="N17" s="7"/>
      <c r="O17" s="13">
        <f>G20</f>
        <v>89.73983228609139</v>
      </c>
      <c r="P17" s="7"/>
    </row>
    <row r="18" spans="1:16" ht="12.75">
      <c r="A18" s="58" t="s">
        <v>54</v>
      </c>
      <c r="B18" s="64">
        <f>lam_zero/2</f>
        <v>64.23982869379014</v>
      </c>
      <c r="C18" s="29" t="s">
        <v>6</v>
      </c>
      <c r="D18" s="51"/>
      <c r="E18" s="29"/>
      <c r="F18" s="29"/>
      <c r="G18" s="101">
        <f>New_slot_len</f>
        <v>62.28428176669809</v>
      </c>
      <c r="H18" s="61" t="s">
        <v>6</v>
      </c>
      <c r="I18" s="62"/>
      <c r="J18" s="61"/>
      <c r="K18" s="30"/>
      <c r="L18" s="15">
        <f>G19</f>
        <v>6.388888888888888</v>
      </c>
      <c r="M18" s="5"/>
      <c r="N18" s="5"/>
      <c r="O18" s="5"/>
      <c r="P18" s="5"/>
    </row>
    <row r="19" spans="1:16" ht="12.75">
      <c r="A19" s="58" t="s">
        <v>55</v>
      </c>
      <c r="B19" s="64">
        <f>lam_guide/20</f>
        <v>8.97398322860914</v>
      </c>
      <c r="C19" s="29" t="s">
        <v>6</v>
      </c>
      <c r="D19" s="51"/>
      <c r="E19" s="29"/>
      <c r="F19" s="29"/>
      <c r="G19" s="101">
        <f>((WG_a/25.4)*0.0625/0.9)*25.4</f>
        <v>6.388888888888888</v>
      </c>
      <c r="H19" s="61" t="s">
        <v>6</v>
      </c>
      <c r="I19" s="62"/>
      <c r="J19" s="61"/>
      <c r="K19" s="30"/>
      <c r="L19" s="15">
        <f>G17</f>
        <v>6.104205935533614</v>
      </c>
      <c r="M19" s="5"/>
      <c r="N19" s="5"/>
      <c r="O19" s="5"/>
      <c r="P19" s="5"/>
    </row>
    <row r="20" spans="1:16" ht="12.75">
      <c r="A20" s="58" t="s">
        <v>56</v>
      </c>
      <c r="B20" s="64">
        <f>lam_guide/2</f>
        <v>89.73983228609139</v>
      </c>
      <c r="C20" s="29" t="s">
        <v>6</v>
      </c>
      <c r="D20" s="51"/>
      <c r="E20" s="29"/>
      <c r="F20" s="51"/>
      <c r="G20" s="101">
        <f>lam_guide/2</f>
        <v>89.73983228609139</v>
      </c>
      <c r="H20" s="61" t="s">
        <v>6</v>
      </c>
      <c r="I20" s="62"/>
      <c r="J20" s="61"/>
      <c r="K20" s="30"/>
      <c r="L20" s="5"/>
      <c r="M20" s="5"/>
      <c r="N20" s="5"/>
      <c r="O20" s="5"/>
      <c r="P20" s="5"/>
    </row>
    <row r="21" spans="1:16" ht="12.75">
      <c r="A21" s="58" t="s">
        <v>57</v>
      </c>
      <c r="B21" s="64">
        <f>lam_guide/4</f>
        <v>44.86991614304569</v>
      </c>
      <c r="C21" s="29" t="s">
        <v>6</v>
      </c>
      <c r="D21" s="51"/>
      <c r="E21" s="29"/>
      <c r="F21" s="29"/>
      <c r="G21" s="101">
        <f>lam_guide/4</f>
        <v>44.86991614304569</v>
      </c>
      <c r="H21" s="61" t="s">
        <v>6</v>
      </c>
      <c r="I21" s="62"/>
      <c r="J21" s="61"/>
      <c r="K21" s="30"/>
      <c r="L21" s="5"/>
      <c r="M21" s="5"/>
      <c r="N21" s="5"/>
      <c r="O21" s="5"/>
      <c r="P21" s="5"/>
    </row>
    <row r="22" spans="1:16" ht="12.75">
      <c r="A22" s="58" t="s">
        <v>58</v>
      </c>
      <c r="B22" s="64">
        <f>3*lam_guide/4</f>
        <v>134.60974842913708</v>
      </c>
      <c r="C22" s="29" t="s">
        <v>6</v>
      </c>
      <c r="D22" s="51"/>
      <c r="E22" s="29"/>
      <c r="F22" s="29"/>
      <c r="G22" s="101">
        <f>3*lam_guide/4</f>
        <v>134.60974842913708</v>
      </c>
      <c r="H22" s="61" t="s">
        <v>6</v>
      </c>
      <c r="I22" s="62"/>
      <c r="J22" s="61"/>
      <c r="K22" s="30"/>
      <c r="L22" s="5"/>
      <c r="M22" s="5"/>
      <c r="N22" s="5"/>
      <c r="O22" s="5"/>
      <c r="P22" s="5"/>
    </row>
    <row r="23" spans="1:16" s="3" customFormat="1" ht="12.75">
      <c r="A23" s="65" t="s">
        <v>59</v>
      </c>
      <c r="B23" s="66"/>
      <c r="C23" s="67"/>
      <c r="D23" s="68"/>
      <c r="E23" s="67"/>
      <c r="F23" s="67"/>
      <c r="G23" s="69"/>
      <c r="H23" s="70"/>
      <c r="I23" s="71"/>
      <c r="J23" s="70"/>
      <c r="K23" s="72"/>
      <c r="L23" s="8"/>
      <c r="M23" s="8"/>
      <c r="N23" s="8"/>
      <c r="O23" s="8"/>
      <c r="P23" s="8"/>
    </row>
    <row r="24" spans="1:16" ht="12.75">
      <c r="A24" s="26"/>
      <c r="B24" s="73"/>
      <c r="C24" s="29"/>
      <c r="D24" s="29"/>
      <c r="E24" s="29"/>
      <c r="F24" s="29"/>
      <c r="G24" s="29"/>
      <c r="H24" s="29"/>
      <c r="I24" s="29"/>
      <c r="J24" s="29"/>
      <c r="K24" s="30"/>
      <c r="L24" s="5"/>
      <c r="M24" s="5"/>
      <c r="N24" s="5"/>
      <c r="O24" s="5"/>
      <c r="P24" s="5"/>
    </row>
    <row r="25" spans="1:16" ht="12.75">
      <c r="A25" s="26" t="s">
        <v>24</v>
      </c>
      <c r="B25" s="73">
        <f>300/FGhz</f>
        <v>128.4796573875803</v>
      </c>
      <c r="C25" s="29" t="s">
        <v>6</v>
      </c>
      <c r="D25" s="51"/>
      <c r="E25" s="29"/>
      <c r="F25" s="29"/>
      <c r="G25" s="29"/>
      <c r="H25" s="29"/>
      <c r="I25" s="29"/>
      <c r="J25" s="29"/>
      <c r="K25" s="30"/>
      <c r="L25" s="5"/>
      <c r="M25" s="5"/>
      <c r="N25" s="5"/>
      <c r="O25" s="5"/>
      <c r="P25" s="5"/>
    </row>
    <row r="26" spans="1:16" ht="12.75">
      <c r="A26" s="26" t="s">
        <v>10</v>
      </c>
      <c r="B26" s="73">
        <f>2*WG_a</f>
        <v>184</v>
      </c>
      <c r="C26" s="29" t="s">
        <v>6</v>
      </c>
      <c r="D26" s="29" t="s">
        <v>60</v>
      </c>
      <c r="E26" s="29"/>
      <c r="F26" s="29"/>
      <c r="G26" s="105">
        <f>(300/lam_cutoff)*1.2</f>
        <v>1.9565217391304346</v>
      </c>
      <c r="H26" s="29" t="s">
        <v>32</v>
      </c>
      <c r="I26" s="29"/>
      <c r="J26" s="29"/>
      <c r="K26" s="30"/>
      <c r="L26" s="5"/>
      <c r="M26" s="5"/>
      <c r="N26" s="5"/>
      <c r="O26" s="5"/>
      <c r="P26" s="5"/>
    </row>
    <row r="27" spans="1:16" ht="12.75">
      <c r="A27" s="26" t="s">
        <v>23</v>
      </c>
      <c r="B27" s="73">
        <f>1/SQRT(((1/lam_zero)^2)-((1/lam_cutoff)^2))</f>
        <v>179.47966457218277</v>
      </c>
      <c r="C27" s="29" t="s">
        <v>6</v>
      </c>
      <c r="D27" s="51"/>
      <c r="E27" s="29"/>
      <c r="F27" s="29"/>
      <c r="G27" s="29"/>
      <c r="H27" s="29"/>
      <c r="I27" s="29"/>
      <c r="J27" s="29"/>
      <c r="K27" s="30"/>
      <c r="L27" s="16"/>
      <c r="M27" s="5"/>
      <c r="N27" s="5"/>
      <c r="O27" s="5"/>
      <c r="P27" s="5"/>
    </row>
    <row r="28" spans="1:16" ht="12.75">
      <c r="A28" s="26"/>
      <c r="B28" s="50"/>
      <c r="C28" s="29"/>
      <c r="D28" s="51"/>
      <c r="E28" s="29"/>
      <c r="F28" s="29"/>
      <c r="G28" s="29"/>
      <c r="H28" s="29"/>
      <c r="I28" s="29"/>
      <c r="J28" s="29"/>
      <c r="K28" s="30"/>
      <c r="L28" s="16" t="s">
        <v>36</v>
      </c>
      <c r="M28" s="17">
        <f>B27</f>
        <v>179.47966457218277</v>
      </c>
      <c r="N28" s="5"/>
      <c r="O28" s="5"/>
      <c r="P28" s="5"/>
    </row>
    <row r="29" spans="1:16" ht="12.75">
      <c r="A29" s="26"/>
      <c r="B29" s="50"/>
      <c r="C29" s="29"/>
      <c r="D29" s="51"/>
      <c r="E29" s="29"/>
      <c r="F29" s="29"/>
      <c r="G29" s="29"/>
      <c r="H29" s="29"/>
      <c r="I29" s="29"/>
      <c r="J29" s="29"/>
      <c r="K29" s="30"/>
      <c r="L29" s="5"/>
      <c r="M29" s="5"/>
      <c r="N29" s="5"/>
      <c r="O29" s="5"/>
      <c r="P29" s="5"/>
    </row>
    <row r="30" spans="1:16" ht="18.75">
      <c r="A30" s="74" t="s">
        <v>51</v>
      </c>
      <c r="B30" s="50"/>
      <c r="C30" s="29"/>
      <c r="D30" s="51"/>
      <c r="E30" s="29"/>
      <c r="F30" s="29"/>
      <c r="G30" s="29"/>
      <c r="H30" s="29"/>
      <c r="I30" s="29"/>
      <c r="J30" s="29"/>
      <c r="K30" s="30"/>
      <c r="L30" s="5"/>
      <c r="M30" s="5"/>
      <c r="N30" s="5"/>
      <c r="O30" s="5"/>
      <c r="P30" s="5"/>
    </row>
    <row r="31" spans="1:16" ht="18">
      <c r="A31" s="75" t="s">
        <v>7</v>
      </c>
      <c r="B31" s="76">
        <f>1/Nslots</f>
        <v>0.05555555555555555</v>
      </c>
      <c r="C31" s="76"/>
      <c r="D31" s="76"/>
      <c r="E31" s="76"/>
      <c r="F31" s="76"/>
      <c r="G31" s="77">
        <f>1/Nslots</f>
        <v>0.05555555555555555</v>
      </c>
      <c r="H31" s="78" t="s">
        <v>16</v>
      </c>
      <c r="I31" s="29"/>
      <c r="J31" s="29"/>
      <c r="K31" s="30"/>
      <c r="L31" s="5"/>
      <c r="M31" s="5"/>
      <c r="N31" s="5"/>
      <c r="O31" s="5"/>
      <c r="P31" s="5"/>
    </row>
    <row r="32" spans="1:16" ht="12.75">
      <c r="A32" s="26" t="s">
        <v>0</v>
      </c>
      <c r="B32" s="76">
        <f>2.09*(lam_guide/lam_zero)*(WG_a/WG_b)*(COS(PI()*lam_zero/2/lam_guide)^2)</f>
        <v>1.564154285957461</v>
      </c>
      <c r="C32" s="76"/>
      <c r="D32" s="76"/>
      <c r="E32" s="76"/>
      <c r="F32" s="76"/>
      <c r="G32" s="79">
        <f>2.09*(lam_guide/lam_zero)*(WG_a/WG_b)*(COS(0.464*PI()*lam_zero/lam_guide)-COS(0.464*PI()))^2</f>
        <v>1.2790328695300581</v>
      </c>
      <c r="H32" s="29"/>
      <c r="I32" s="29"/>
      <c r="J32" s="29"/>
      <c r="K32" s="30"/>
      <c r="L32" s="15">
        <f>B51</f>
        <v>22.434958071522846</v>
      </c>
      <c r="M32" s="5"/>
      <c r="N32" s="5"/>
      <c r="O32" s="5"/>
      <c r="P32" s="5"/>
    </row>
    <row r="33" spans="1:16" ht="12.75">
      <c r="A33" s="26" t="s">
        <v>1</v>
      </c>
      <c r="B33" s="76">
        <f>G_slot/G_1</f>
        <v>0.03551795117292313</v>
      </c>
      <c r="C33" s="76"/>
      <c r="D33" s="76"/>
      <c r="E33" s="76"/>
      <c r="F33" s="76"/>
      <c r="G33" s="79">
        <f>G_2_slot/New_G1</f>
        <v>0.04343559644090129</v>
      </c>
      <c r="H33" s="29"/>
      <c r="I33" s="29"/>
      <c r="J33" s="29"/>
      <c r="K33" s="30"/>
      <c r="L33" s="12" t="s">
        <v>30</v>
      </c>
      <c r="M33" s="5"/>
      <c r="N33" s="5"/>
      <c r="O33" s="5"/>
      <c r="P33" s="5"/>
    </row>
    <row r="34" spans="1:16" ht="12.75">
      <c r="A34" s="26"/>
      <c r="B34" s="50"/>
      <c r="C34" s="29"/>
      <c r="D34" s="51"/>
      <c r="E34" s="29"/>
      <c r="F34" s="29"/>
      <c r="G34" s="29"/>
      <c r="H34" s="29"/>
      <c r="I34" s="29"/>
      <c r="J34" s="29"/>
      <c r="K34" s="30"/>
      <c r="L34" s="15">
        <f>D51</f>
        <v>44.86991614304569</v>
      </c>
      <c r="M34" s="5"/>
      <c r="N34" s="5"/>
      <c r="O34" s="5"/>
      <c r="P34" s="5"/>
    </row>
    <row r="35" spans="1:16" s="1" customFormat="1" ht="15.75">
      <c r="A35" s="80" t="s">
        <v>11</v>
      </c>
      <c r="B35" s="81"/>
      <c r="C35" s="46"/>
      <c r="D35" s="82"/>
      <c r="E35" s="46"/>
      <c r="F35" s="46"/>
      <c r="G35" s="83" t="s">
        <v>13</v>
      </c>
      <c r="H35" s="83"/>
      <c r="I35" s="83"/>
      <c r="J35" s="83"/>
      <c r="K35" s="84"/>
      <c r="L35" s="9"/>
      <c r="M35" s="9"/>
      <c r="N35" s="9"/>
      <c r="O35" s="9"/>
      <c r="P35" s="9"/>
    </row>
    <row r="36" spans="1:16" ht="12.75">
      <c r="A36" s="26" t="s">
        <v>2</v>
      </c>
      <c r="B36" s="50">
        <f>(WG_a/PI())*SQRT(ASIN(Y))</f>
        <v>5.519599731222371</v>
      </c>
      <c r="C36" s="29" t="s">
        <v>6</v>
      </c>
      <c r="D36" s="51"/>
      <c r="E36" s="29"/>
      <c r="F36" s="29"/>
      <c r="G36" s="102">
        <f>(WG_a/PI())*SQRT(ASIN(New_Y))</f>
        <v>6.104205935533614</v>
      </c>
      <c r="H36" s="85" t="s">
        <v>6</v>
      </c>
      <c r="I36" s="86"/>
      <c r="J36" s="85" t="s">
        <v>21</v>
      </c>
      <c r="K36" s="87"/>
      <c r="L36" s="5"/>
      <c r="M36" s="5"/>
      <c r="N36" s="5"/>
      <c r="O36" s="5"/>
      <c r="P36" s="5"/>
    </row>
    <row r="37" spans="1:16" ht="12.75">
      <c r="A37" s="26"/>
      <c r="B37" s="50"/>
      <c r="C37" s="29"/>
      <c r="D37" s="51"/>
      <c r="E37" s="29"/>
      <c r="F37" s="29"/>
      <c r="G37" s="29"/>
      <c r="H37" s="29"/>
      <c r="I37" s="29"/>
      <c r="J37" s="29"/>
      <c r="K37" s="30"/>
      <c r="L37" s="5"/>
      <c r="M37" s="5"/>
      <c r="N37" s="5"/>
      <c r="O37" s="5"/>
      <c r="P37" s="5"/>
    </row>
    <row r="38" spans="1:16" s="1" customFormat="1" ht="15.75">
      <c r="A38" s="80" t="s">
        <v>12</v>
      </c>
      <c r="B38" s="81"/>
      <c r="C38" s="46"/>
      <c r="D38" s="82"/>
      <c r="E38" s="46"/>
      <c r="F38" s="46"/>
      <c r="G38" s="46"/>
      <c r="H38" s="46"/>
      <c r="I38" s="46"/>
      <c r="J38" s="46"/>
      <c r="K38" s="88"/>
      <c r="L38" s="16" t="s">
        <v>36</v>
      </c>
      <c r="M38" s="18">
        <f>B27</f>
        <v>179.47966457218277</v>
      </c>
      <c r="N38" s="9"/>
      <c r="O38" s="9"/>
      <c r="P38" s="9"/>
    </row>
    <row r="39" spans="1:16" ht="12.75">
      <c r="A39" s="26" t="s">
        <v>3</v>
      </c>
      <c r="B39" s="50">
        <f>ATAN(Y/SQRT(1-Y^2))</f>
        <v>0.03552542321184438</v>
      </c>
      <c r="C39" s="29" t="s">
        <v>6</v>
      </c>
      <c r="D39" s="51"/>
      <c r="E39" s="29"/>
      <c r="F39" s="29"/>
      <c r="G39" s="29"/>
      <c r="H39" s="29"/>
      <c r="I39" s="29"/>
      <c r="J39" s="29"/>
      <c r="K39" s="30"/>
      <c r="L39" s="5"/>
      <c r="M39" s="5"/>
      <c r="N39" s="5"/>
      <c r="O39" s="5"/>
      <c r="P39" s="5"/>
    </row>
    <row r="40" spans="1:16" ht="12.75">
      <c r="A40" s="26" t="s">
        <v>4</v>
      </c>
      <c r="B40" s="50">
        <f>(WG_a/PI())*SQRT(AG)</f>
        <v>5.519599731222371</v>
      </c>
      <c r="C40" s="29" t="s">
        <v>6</v>
      </c>
      <c r="D40" s="51"/>
      <c r="E40" s="29"/>
      <c r="F40" s="29"/>
      <c r="G40" s="29"/>
      <c r="H40" s="29"/>
      <c r="I40" s="29"/>
      <c r="J40" s="29"/>
      <c r="K40" s="30"/>
      <c r="L40" s="5"/>
      <c r="M40" s="5"/>
      <c r="N40" s="5"/>
      <c r="O40" s="5"/>
      <c r="P40" s="5"/>
    </row>
    <row r="41" spans="1:16" ht="12.75">
      <c r="A41" s="26"/>
      <c r="B41" s="50"/>
      <c r="C41" s="29"/>
      <c r="D41" s="51"/>
      <c r="E41" s="29"/>
      <c r="F41" s="29"/>
      <c r="G41" s="29"/>
      <c r="H41" s="29"/>
      <c r="I41" s="29"/>
      <c r="J41" s="29"/>
      <c r="K41" s="30"/>
      <c r="L41" s="5"/>
      <c r="M41" s="5"/>
      <c r="N41" s="5"/>
      <c r="O41" s="5"/>
      <c r="P41" s="5"/>
    </row>
    <row r="42" spans="1:16" ht="15.75">
      <c r="A42" s="80" t="s">
        <v>14</v>
      </c>
      <c r="B42" s="29"/>
      <c r="C42" s="29"/>
      <c r="D42" s="29"/>
      <c r="E42" s="29"/>
      <c r="F42" s="29"/>
      <c r="G42" s="29"/>
      <c r="H42" s="29"/>
      <c r="I42" s="29"/>
      <c r="J42" s="29"/>
      <c r="K42" s="30"/>
      <c r="L42" s="5"/>
      <c r="M42" s="5"/>
      <c r="N42" s="5"/>
      <c r="O42" s="11">
        <f>B50</f>
        <v>21.53755974866193</v>
      </c>
      <c r="P42" s="5"/>
    </row>
    <row r="43" spans="1:16" ht="12.75">
      <c r="A43" s="89" t="s">
        <v>17</v>
      </c>
      <c r="B43" s="29"/>
      <c r="C43" s="29"/>
      <c r="D43" s="29"/>
      <c r="E43" s="29"/>
      <c r="F43" s="29"/>
      <c r="G43" s="76">
        <f>0.210324*G_2_slot^4-0.338065*G_2_slot^3+0.12712*G_2_slot^2+0.034433*G_2_slot+0.48253</f>
        <v>0.48477932641746685</v>
      </c>
      <c r="H43" s="29"/>
      <c r="I43" s="29"/>
      <c r="J43" s="29"/>
      <c r="K43" s="30"/>
      <c r="L43" s="5"/>
      <c r="M43" s="5"/>
      <c r="N43" s="5"/>
      <c r="O43" s="12" t="s">
        <v>30</v>
      </c>
      <c r="P43" s="5"/>
    </row>
    <row r="44" spans="1:15" ht="12.75">
      <c r="A44" s="26" t="s">
        <v>15</v>
      </c>
      <c r="B44" s="29"/>
      <c r="C44" s="29"/>
      <c r="D44" s="29"/>
      <c r="E44" s="29"/>
      <c r="F44" s="29"/>
      <c r="G44" s="90">
        <f>lam_zero*Slot_wl</f>
        <v>62.28428176669809</v>
      </c>
      <c r="H44" s="85" t="s">
        <v>6</v>
      </c>
      <c r="I44" s="86"/>
      <c r="J44" s="85"/>
      <c r="K44" s="30"/>
      <c r="L44" s="5"/>
      <c r="M44" s="5"/>
      <c r="N44" s="5"/>
      <c r="O44" s="11">
        <f>D50</f>
        <v>111.27739203475332</v>
      </c>
    </row>
    <row r="45" spans="1:11" ht="12.75">
      <c r="A45" s="26"/>
      <c r="B45" s="29"/>
      <c r="C45" s="29"/>
      <c r="D45" s="29"/>
      <c r="E45" s="29"/>
      <c r="F45" s="29"/>
      <c r="G45" s="29"/>
      <c r="H45" s="29"/>
      <c r="I45" s="29"/>
      <c r="J45" s="29"/>
      <c r="K45" s="30"/>
    </row>
    <row r="46" spans="1:11" ht="12.75">
      <c r="A46" s="26"/>
      <c r="B46" s="29"/>
      <c r="C46" s="29"/>
      <c r="D46" s="29"/>
      <c r="E46" s="29"/>
      <c r="F46" s="29"/>
      <c r="G46" s="29"/>
      <c r="H46" s="29"/>
      <c r="I46" s="29"/>
      <c r="J46" s="29"/>
      <c r="K46" s="30"/>
    </row>
    <row r="47" spans="1:16" ht="12.75">
      <c r="A47" s="40" t="s">
        <v>25</v>
      </c>
      <c r="B47" s="29"/>
      <c r="C47" s="29"/>
      <c r="D47" s="29"/>
      <c r="E47" s="29"/>
      <c r="F47" s="29"/>
      <c r="G47" s="29" t="s">
        <v>41</v>
      </c>
      <c r="H47" s="29"/>
      <c r="I47" s="29"/>
      <c r="J47" s="29"/>
      <c r="K47" s="30"/>
      <c r="N47" s="21" t="s">
        <v>46</v>
      </c>
      <c r="O47" s="19">
        <f>B48</f>
        <v>4.845950943448935</v>
      </c>
      <c r="P47" t="s">
        <v>6</v>
      </c>
    </row>
    <row r="48" spans="1:16" ht="12.75">
      <c r="A48" s="26" t="s">
        <v>26</v>
      </c>
      <c r="B48" s="103">
        <f>lam_guide*0.027</f>
        <v>4.845950943448935</v>
      </c>
      <c r="C48" s="29" t="s">
        <v>6</v>
      </c>
      <c r="D48" s="29"/>
      <c r="E48" s="29"/>
      <c r="F48" s="29"/>
      <c r="G48" s="91" t="s">
        <v>33</v>
      </c>
      <c r="H48" s="29"/>
      <c r="I48" s="29"/>
      <c r="J48" s="29"/>
      <c r="K48" s="30"/>
      <c r="O48" s="20" t="s">
        <v>21</v>
      </c>
      <c r="P48" t="s">
        <v>21</v>
      </c>
    </row>
    <row r="49" spans="1:11" ht="12.75">
      <c r="A49" s="26" t="s">
        <v>27</v>
      </c>
      <c r="B49" s="103">
        <f>lam_guide*0.16</f>
        <v>28.716746331549245</v>
      </c>
      <c r="C49" s="29" t="s">
        <v>6</v>
      </c>
      <c r="D49" s="29"/>
      <c r="E49" s="29"/>
      <c r="F49" s="29"/>
      <c r="G49" s="91" t="s">
        <v>34</v>
      </c>
      <c r="H49" s="29"/>
      <c r="I49" s="29"/>
      <c r="J49" s="29"/>
      <c r="K49" s="30"/>
    </row>
    <row r="50" spans="1:11" ht="12.75">
      <c r="A50" s="26" t="s">
        <v>62</v>
      </c>
      <c r="B50" s="103">
        <f>lam_guide*0.12</f>
        <v>21.53755974866193</v>
      </c>
      <c r="C50" s="29" t="s">
        <v>6</v>
      </c>
      <c r="D50" s="103">
        <f>lam_guide*0.62</f>
        <v>111.27739203475332</v>
      </c>
      <c r="E50" s="29" t="s">
        <v>6</v>
      </c>
      <c r="F50" s="29"/>
      <c r="G50" s="91" t="s">
        <v>35</v>
      </c>
      <c r="H50" s="29"/>
      <c r="I50" s="29"/>
      <c r="J50" s="29"/>
      <c r="K50" s="30"/>
    </row>
    <row r="51" spans="1:11" ht="12.75">
      <c r="A51" s="26" t="s">
        <v>63</v>
      </c>
      <c r="B51" s="103">
        <f>lam_guide/8</f>
        <v>22.434958071522846</v>
      </c>
      <c r="C51" s="29" t="s">
        <v>6</v>
      </c>
      <c r="D51" s="103">
        <f>lam_guide/4</f>
        <v>44.86991614304569</v>
      </c>
      <c r="E51" s="29" t="s">
        <v>6</v>
      </c>
      <c r="F51" s="29"/>
      <c r="G51" s="91" t="s">
        <v>40</v>
      </c>
      <c r="H51" s="29"/>
      <c r="I51" s="29"/>
      <c r="J51" s="29"/>
      <c r="K51" s="30"/>
    </row>
    <row r="52" spans="1:16" ht="12.75">
      <c r="A52" s="40" t="s">
        <v>37</v>
      </c>
      <c r="B52" s="104">
        <f>G22+(G20*((D11/2)-1))+(G18/2)+B27+(2*D51)+B27+D50</f>
        <v>1443.6471010664275</v>
      </c>
      <c r="C52" s="29" t="s">
        <v>6</v>
      </c>
      <c r="D52" s="29"/>
      <c r="E52" s="29"/>
      <c r="F52" s="29"/>
      <c r="G52" s="91" t="s">
        <v>29</v>
      </c>
      <c r="H52" s="29"/>
      <c r="I52" s="29"/>
      <c r="J52" s="29"/>
      <c r="K52" s="30"/>
      <c r="O52" s="19">
        <f>B49</f>
        <v>28.716746331549245</v>
      </c>
      <c r="P52" t="s">
        <v>6</v>
      </c>
    </row>
    <row r="53" spans="1:15" ht="12.75">
      <c r="A53" s="40" t="s">
        <v>39</v>
      </c>
      <c r="B53" s="104">
        <f>G21+(G20*((D11/2)-1))+(G18/2)+B27+(2*B51)+B27+B50</f>
        <v>1219.297520351199</v>
      </c>
      <c r="C53" s="29" t="s">
        <v>6</v>
      </c>
      <c r="D53" s="29"/>
      <c r="E53" s="29"/>
      <c r="F53" s="29"/>
      <c r="G53" s="29" t="s">
        <v>38</v>
      </c>
      <c r="H53" s="29"/>
      <c r="I53" s="29"/>
      <c r="J53" s="29"/>
      <c r="K53" s="30"/>
      <c r="N53" s="20" t="s">
        <v>21</v>
      </c>
      <c r="O53" t="s">
        <v>21</v>
      </c>
    </row>
    <row r="54" spans="1:11" ht="12.75">
      <c r="A54" s="92" t="s">
        <v>28</v>
      </c>
      <c r="B54" s="29"/>
      <c r="C54" s="29"/>
      <c r="D54" s="29"/>
      <c r="E54" s="29"/>
      <c r="F54" s="29"/>
      <c r="G54" s="29"/>
      <c r="H54" s="29"/>
      <c r="I54" s="29"/>
      <c r="J54" s="29"/>
      <c r="K54" s="30"/>
    </row>
    <row r="55" spans="1:11" s="109" customFormat="1" ht="12.75">
      <c r="A55" s="106" t="s">
        <v>64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8"/>
    </row>
    <row r="56" spans="1:11" ht="12.75">
      <c r="A56" s="93" t="s">
        <v>61</v>
      </c>
      <c r="B56" s="94"/>
      <c r="C56" s="94"/>
      <c r="D56" s="94"/>
      <c r="E56" s="94"/>
      <c r="F56" s="94"/>
      <c r="G56" s="94"/>
      <c r="H56" s="94"/>
      <c r="I56" s="94"/>
      <c r="J56" s="94"/>
      <c r="K56" s="95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3Com Corporation</dc:creator>
  <cp:keywords/>
  <dc:description/>
  <cp:lastModifiedBy>Administrateur</cp:lastModifiedBy>
  <cp:lastPrinted>2002-01-17T13:38:12Z</cp:lastPrinted>
  <dcterms:created xsi:type="dcterms:W3CDTF">1999-12-23T15:44:11Z</dcterms:created>
  <dcterms:modified xsi:type="dcterms:W3CDTF">2008-05-16T06:21:35Z</dcterms:modified>
  <cp:category/>
  <cp:version/>
  <cp:contentType/>
  <cp:contentStatus/>
</cp:coreProperties>
</file>