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5"/>
  </bookViews>
  <sheets>
    <sheet name="RF STUFF" sheetId="1" r:id="rId1"/>
    <sheet name="OHMS LAW" sheetId="2" r:id="rId2"/>
    <sheet name="AMIDON DESIGN" sheetId="3" r:id="rId3"/>
    <sheet name="AMIDON DATA" sheetId="4" r:id="rId4"/>
    <sheet name="MAIDENHEAD" sheetId="5" r:id="rId5"/>
    <sheet name="INFO" sheetId="6" r:id="rId6"/>
    <sheet name="AUDIO" sheetId="7" r:id="rId7"/>
    <sheet name="Non RF" sheetId="8" r:id="rId8"/>
  </sheets>
  <definedNames/>
  <calcPr fullCalcOnLoad="1"/>
</workbook>
</file>

<file path=xl/comments1.xml><?xml version="1.0" encoding="utf-8"?>
<comments xmlns="http://schemas.openxmlformats.org/spreadsheetml/2006/main">
  <authors>
    <author> </author>
  </authors>
  <commentList>
    <comment ref="D54" authorId="0">
      <text>
        <r>
          <rPr>
            <b/>
            <sz val="8"/>
            <color indexed="8"/>
            <rFont val="Tahoma"/>
            <family val="2"/>
          </rPr>
          <t>You must enter any negative values with a minus sign at the beginning.</t>
        </r>
      </text>
    </comment>
    <comment ref="D74" authorId="0">
      <text>
        <r>
          <rPr>
            <sz val="8"/>
            <color indexed="8"/>
            <rFont val="Tahoma"/>
            <family val="2"/>
          </rPr>
          <t xml:space="preserve">
SWG Gauge size       k factor                       
=================                  
4/0 ------------------------ 124.5                         
2/0 ------------------------ 99.0                          
1/0 ------------------------ 88.0                          
2 --------------------------- 69.8                          
4 --------------------------- 55.5                          
6 --------------------------- 47.9                          
8 --------------------------- 34.8                          
10 ------------------------- 27.6                          
14 ------------------------- 17.6                          
18 ------------------------- 10.9                          
22 ------------------------- 6.86  </t>
        </r>
      </text>
    </comment>
    <comment ref="D79" authorId="0">
      <text>
        <r>
          <rPr>
            <b/>
            <sz val="8"/>
            <color indexed="8"/>
            <rFont val="Tahoma"/>
            <family val="2"/>
          </rPr>
          <t>Fat wires suffer more skin effect!</t>
        </r>
      </text>
    </comment>
    <comment ref="D83" authorId="0">
      <text>
        <r>
          <rPr>
            <b/>
            <sz val="8"/>
            <color indexed="8"/>
            <rFont val="Tahoma"/>
            <family val="2"/>
          </rPr>
          <t>This must be the highest power level
in this cell.</t>
        </r>
      </text>
    </comment>
    <comment ref="D88" authorId="0">
      <text>
        <r>
          <rPr>
            <b/>
            <sz val="8"/>
            <color indexed="8"/>
            <rFont val="Tahoma"/>
            <family val="2"/>
          </rPr>
          <t>The largest voltage goes here.</t>
        </r>
      </text>
    </comment>
    <comment ref="E5" authorId="0">
      <text>
        <r>
          <rPr>
            <sz val="8"/>
            <color indexed="8"/>
            <rFont val="Tahoma"/>
            <family val="2"/>
          </rPr>
          <t xml:space="preserve">
 &lt;-------)))))))-------&gt;
                  | 
   Lo Z        ---  Hi Z
                 ---
                  |
 &lt;---------------------&gt;</t>
        </r>
      </text>
    </comment>
    <comment ref="E74" authorId="0">
      <text>
        <r>
          <rPr>
            <b/>
            <sz val="8"/>
            <color indexed="8"/>
            <rFont val="Tahoma"/>
            <family val="2"/>
          </rPr>
          <t>Standard vs American Wire Gauge
SWG   Diam (in.)   Diam (mm)  Nearest AWG
12    0.104            2.64                   10
14    0.08              2.03                   12
16    0.064            1.63                   14
18    0.048            1.22                   16
20    0.036            0.92                   19
22    0.028            0.72                   21
24    0.022            0.60                   23
26    0.018            0.46                   25
28    0.0148          0.38                   27
30    0.0124          0.31                   28
32    0.0108          0.27                   29
34    0.0092          0.24                   31
36    0.0076          0.19                   32
38    0.006            0.15                   34
40    0.0048          0.12                   36
42    0.004            0.10                   38
44    0.0032          0.08                   40
46    0.0024          0.06                    -</t>
        </r>
      </text>
    </comment>
    <comment ref="E78" authorId="0">
      <text>
        <r>
          <rPr>
            <b/>
            <sz val="8"/>
            <color indexed="8"/>
            <rFont val="Tahoma"/>
            <family val="2"/>
          </rPr>
          <t>This will show you the cut off frequency of the conductor before resistive losses start to increase. Losses increase the higher the frequency.  Further info is in the ATB readme file.</t>
        </r>
      </text>
    </comment>
    <comment ref="H52" authorId="0">
      <text>
        <r>
          <rPr>
            <sz val="8"/>
            <color indexed="8"/>
            <rFont val="Tahoma"/>
            <family val="2"/>
          </rPr>
          <t xml:space="preserve">This is an electrical length, not the physical one.
See above Length of quarter wave feeder.
</t>
        </r>
      </text>
    </comment>
    <comment ref="I27" authorId="0">
      <text>
        <r>
          <rPr>
            <b/>
            <sz val="8"/>
            <color indexed="8"/>
            <rFont val="Tahoma"/>
            <family val="2"/>
          </rPr>
          <t xml:space="preserve">The formula is not exact - it's a rule of thumb and fairly empirical.
Range Miles=(100)/SQRT(MHz)
100:Poor earth (typical land/earth)
400:Sea water path (excellent)
It also assumes a VERTICAL polarisation.
The distance is where the vertical wavefront collapses on a curved
earth.
</t>
        </r>
      </text>
    </comment>
    <comment ref="J2" authorId="0">
      <text>
        <r>
          <rPr>
            <b/>
            <sz val="8"/>
            <color indexed="8"/>
            <rFont val="Tahoma"/>
            <family val="2"/>
          </rPr>
          <t>LIKE THIS.</t>
        </r>
      </text>
    </comment>
    <comment ref="J5" authorId="0">
      <text>
        <r>
          <rPr>
            <b/>
            <sz val="8"/>
            <color indexed="8"/>
            <rFont val="Tahoma"/>
            <family val="2"/>
          </rPr>
          <t>Range = 3.55 x SQRT(Htx) + SQRT(Hrx) x 1.33
Htx and Hrx = height antennas in metres
1.33 = refractive index of typical air
It goes much higher when there's foggy wx.</t>
        </r>
      </text>
    </comment>
    <comment ref="J18" authorId="0">
      <text>
        <r>
          <rPr>
            <sz val="8"/>
            <color indexed="8"/>
            <rFont val="Tahoma"/>
            <family val="2"/>
          </rPr>
          <t xml:space="preserve">
Loss db = (4XPI) x (distance travelled in metres)
              ---------------------------------------------------     LOG x 20
                        wavelength in meteres</t>
        </r>
      </text>
    </comment>
    <comment ref="J29" authorId="0">
      <text>
        <r>
          <rPr>
            <b/>
            <sz val="8"/>
            <color indexed="8"/>
            <rFont val="Tahoma"/>
            <family val="2"/>
          </rPr>
          <t xml:space="preserve">This is the distance around the antenna that contains the reactive field. It's within this region that you must avoid having any objects which disturb the antenna's behaviour.
The formula used is - 2*L (squared)
                                  ------------------
                                         lambda
Where L = largest dimension of the antenna
Lambda = wavelength.
</t>
        </r>
      </text>
    </comment>
    <comment ref="J45" authorId="0">
      <text>
        <r>
          <rPr>
            <b/>
            <sz val="8"/>
            <color indexed="8"/>
            <rFont val="Tahoma"/>
            <family val="2"/>
          </rPr>
          <t>The circuit to visualise the effect of a quarter wave transformer is:
                                                                    |
                                                                    |
                              ___________________|          
=============___________________  
                                                                    |
                                                                    |
                                                                    |      
              ________
where    ________ means the inserted line (coax or twin).</t>
        </r>
      </text>
    </comment>
    <comment ref="J50" authorId="0">
      <text>
        <r>
          <rPr>
            <b/>
            <sz val="8"/>
            <color indexed="8"/>
            <rFont val="Tahoma"/>
            <family val="2"/>
          </rPr>
          <t>The circuit to visualise the effect of a quarter wave transformer is:
                                                                    |
                                                                    |
                              ___________________|          
=============___________________  
                                                                     |
                                                                     |
                                                                     |
           ________
where ________ means the inserted line.</t>
        </r>
      </text>
    </comment>
    <comment ref="J57" authorId="0">
      <text>
        <r>
          <rPr>
            <b/>
            <sz val="8"/>
            <color indexed="8"/>
            <rFont val="Tahoma"/>
            <family val="2"/>
          </rPr>
          <t>You can also make high voltage fixed capacitors using a section of transmission line.Look in the MISC section.</t>
        </r>
      </text>
    </comment>
    <comment ref="J71" authorId="0">
      <text>
        <r>
          <rPr>
            <b/>
            <sz val="8"/>
            <color indexed="8"/>
            <rFont val="Tahoma"/>
            <family val="2"/>
          </rPr>
          <t>"Paschen's Law" 
Further searching brought up this empirical formula
FOR AIR
x=293 * p * d / (760 * T) [I refer to this as "Delta X" in my calculation]
vbreakdown= 24.22 * x + 6.08 * sqrt( x )
where
d= distance in cm.
T= temperature in degrees Kelvin
p= pressure in Torr ( mm Hg )
V in kV
I have attempted to simplify the calculation which now assumes normal
atmospheric pressure which is circa 1000mb and used centigrade instead of Kelvin.
Subsequent investigation by myself reveals that Paschen's formula is used
in relation to an infinate planar plate and it is *my* understanding so far that
as such this formula can be applied to the traditionally held view of a plate
capacitor of any size. 
Balls or pointed electrodes are a different matter.</t>
        </r>
      </text>
    </comment>
    <comment ref="J82" authorId="0">
      <text>
        <r>
          <rPr>
            <b/>
            <sz val="8"/>
            <color indexed="8"/>
            <rFont val="Tahoma"/>
            <family val="2"/>
          </rPr>
          <t>A modulation is index of 1 means that the bandwidth of the transmission is equal to the modulating frequency. A low modulation index means the bandwidth is less than the modulation frequency.</t>
        </r>
      </text>
    </comment>
    <comment ref="L16" authorId="0">
      <text>
        <r>
          <rPr>
            <b/>
            <sz val="8"/>
            <color indexed="8"/>
            <rFont val="Tahoma"/>
            <family val="2"/>
          </rPr>
          <t>Typical ssb bandwidth</t>
        </r>
      </text>
    </comment>
    <comment ref="L50" authorId="0">
      <text>
        <r>
          <rPr>
            <sz val="12"/>
            <rFont val="Arial"/>
            <family val="2"/>
          </rPr>
          <t xml:space="preserve">                       BAS70
+_____________|\|________________
       |                    |/|     |                         |
       -                            |                         |
      | |                           |                         |
      | |50R                   ---             VOLTMETER
      | |                          --- 0.1u               |
       -                           |                         |
       |                            |                        |
___ |______________|____________|
Leads to voltmeter may need filtering.</t>
        </r>
      </text>
    </comment>
    <comment ref="N16" authorId="0">
      <text>
        <r>
          <rPr>
            <b/>
            <sz val="8"/>
            <color indexed="8"/>
            <rFont val="Tahoma"/>
            <family val="2"/>
          </rPr>
          <t>Bandwidth of a good CW filter !</t>
        </r>
      </text>
    </comment>
    <comment ref="N20" authorId="0">
      <text>
        <r>
          <rPr>
            <b/>
            <sz val="8"/>
            <color indexed="8"/>
            <rFont val="Tahoma"/>
            <family val="2"/>
          </rPr>
          <t>If it's a circle then:
Area = 2*pi*radius !</t>
        </r>
      </text>
    </comment>
    <comment ref="N21" authorId="0">
      <text>
        <r>
          <rPr>
            <b/>
            <sz val="8"/>
            <color indexed="8"/>
            <rFont val="Tahoma"/>
            <family val="2"/>
          </rPr>
          <t>This is the magnitude of R+jX or R-jX</t>
        </r>
      </text>
    </comment>
    <comment ref="N26" authorId="0">
      <text>
        <r>
          <rPr>
            <b/>
            <sz val="8"/>
            <color indexed="8"/>
            <rFont val="Tahoma"/>
            <family val="2"/>
          </rPr>
          <t>Use an antemna analyser or similar for this measurement. Use 1 metre of line. [Source - Radio &amp; televion Engineers Reference Book,Hawker &amp; Pannet)</t>
        </r>
      </text>
    </comment>
    <comment ref="N27" authorId="0">
      <text>
        <r>
          <rPr>
            <b/>
            <sz val="8"/>
            <color indexed="8"/>
            <rFont val="Tahoma"/>
            <family val="2"/>
          </rPr>
          <t>See above.</t>
        </r>
      </text>
    </comment>
    <comment ref="N31" authorId="0">
      <text>
        <r>
          <rPr>
            <b/>
            <sz val="8"/>
            <color indexed="8"/>
            <rFont val="Tahoma"/>
            <family val="2"/>
          </rPr>
          <t xml:space="preserve">
 &lt;--------/\/\/\/-------|
             R(value)        =O (LED)
 &lt;------------------------|</t>
        </r>
      </text>
    </comment>
    <comment ref="O8" authorId="0">
      <text>
        <r>
          <rPr>
            <b/>
            <sz val="8"/>
            <color indexed="8"/>
            <rFont val="Tahoma"/>
            <family val="2"/>
          </rPr>
          <t>Earth resistance is the resistance that
couples between the earth of the antenna 
and the earth of the soil.
Example:  Total resistance A&lt;&gt; B &lt;&gt; C)
                                        |
                                        |  A
                                        |       ,
     ==================           ,
                                        |              ,
                                        |  C           ,
                                        |       ,          ,
                                                     ,       ,
                                                         ,      ,
                                                             ,    B
---------------------------------------------------
///////////////////////////////////////////////////</t>
        </r>
      </text>
    </comment>
    <comment ref="O12" authorId="0">
      <text>
        <r>
          <rPr>
            <b/>
            <sz val="8"/>
            <color indexed="8"/>
            <rFont val="Tahoma"/>
            <family val="2"/>
          </rPr>
          <t>Ng = galactic noise
Ng= 52-(23*LOG10 FREQ MHZ)-204
Ng= dbW per 1Hz
Varies by plus/minus 2db
If you double the bandwidth you increase noise by 3db (power).
--------------------------------------------------------------
Users of GH_Noise (Greg Hand) may simply add
64.5db to the W/Hz figure for SSB. For CW it's
54.5db for a 250Hz b/w.
-------------------------------------------------------------</t>
        </r>
      </text>
    </comment>
    <comment ref="O18" authorId="0">
      <text>
        <r>
          <rPr>
            <b/>
            <sz val="8"/>
            <color indexed="8"/>
            <rFont val="Tahoma"/>
            <family val="2"/>
          </rPr>
          <t>Example:
  |-------------------- -|
  |                             |
  |                             |
  |                             |
  |                             |
  |----------O--------- |
           Feed point</t>
        </r>
      </text>
    </comment>
    <comment ref="O37" authorId="0">
      <text>
        <r>
          <rPr>
            <b/>
            <sz val="8"/>
            <color indexed="8"/>
            <rFont val="Tahoma"/>
            <family val="2"/>
          </rPr>
          <t>Formula is:
10 * (LOG of Power in milliwatts)</t>
        </r>
      </text>
    </comment>
    <comment ref="O41" authorId="0">
      <text>
        <r>
          <rPr>
            <b/>
            <sz val="8"/>
            <color indexed="8"/>
            <rFont val="Tahoma"/>
            <family val="2"/>
          </rPr>
          <t>Formula is:
Number of uV minus 113db !</t>
        </r>
      </text>
    </comment>
    <comment ref="O45" authorId="0">
      <text>
        <r>
          <rPr>
            <b/>
            <sz val="8"/>
            <color indexed="8"/>
            <rFont val="Tahoma"/>
            <family val="2"/>
          </rPr>
          <t xml:space="preserve">Based upon some research by G0FTD.
This is a rule of thumb formula.
Attenuation db = SQRT(Mhz)*2
Based upon a documents on the internet
refering to sounding experiments at the Pyramids of Giza in Egypt.
</t>
        </r>
      </text>
    </comment>
    <comment ref="O50" authorId="0">
      <text>
        <r>
          <rPr>
            <b/>
            <sz val="8"/>
            <color indexed="8"/>
            <rFont val="Tahoma"/>
            <family val="2"/>
          </rPr>
          <t>The circuit to visualise the effect of a quarter wave transformer is:
                                                                    |
                                                                    |
                              ___________________|          
=============___________________  
                                                                     |
                                                                     |
                                                                     |
           ________
where ________ means the inserted line.</t>
        </r>
      </text>
    </comment>
    <comment ref="O57" authorId="0">
      <text>
        <r>
          <rPr>
            <sz val="12"/>
            <rFont val="Arial"/>
            <family val="2"/>
          </rPr>
          <t>Simply put a resistance across a source for this test.</t>
        </r>
      </text>
    </comment>
  </commentList>
</comments>
</file>

<file path=xl/comments2.xml><?xml version="1.0" encoding="utf-8"?>
<comments xmlns="http://schemas.openxmlformats.org/spreadsheetml/2006/main">
  <authors>
    <author> </author>
  </authors>
  <commentList>
    <comment ref="D37" authorId="0">
      <text>
        <r>
          <rPr>
            <b/>
            <sz val="8"/>
            <color indexed="8"/>
            <rFont val="Tahoma"/>
            <family val="2"/>
          </rPr>
          <t xml:space="preserve">Use this to determine the working voltage of ATU capacitors.
</t>
        </r>
      </text>
    </comment>
    <comment ref="D38" authorId="0">
      <text>
        <r>
          <rPr>
            <b/>
            <sz val="8"/>
            <color indexed="8"/>
            <rFont val="Tahoma"/>
            <family val="2"/>
          </rPr>
          <t>You can use this formula do determine the working voltage of ATU capacitors.
It is the reactance in ohms at the given frequency which determine this resistance value.</t>
        </r>
      </text>
    </comment>
    <comment ref="D39" authorId="0">
      <text>
        <r>
          <rPr>
            <b/>
            <sz val="8"/>
            <color indexed="8"/>
            <rFont val="Tahoma"/>
            <family val="2"/>
          </rPr>
          <t>In an ATU you need capacitors of this working voltage.</t>
        </r>
      </text>
    </comment>
    <comment ref="J1" authorId="0">
      <text>
        <r>
          <rPr>
            <b/>
            <sz val="8"/>
            <color indexed="8"/>
            <rFont val="Tahoma"/>
            <family val="2"/>
          </rPr>
          <t>Like this.</t>
        </r>
      </text>
    </comment>
  </commentList>
</comments>
</file>

<file path=xl/comments6.xml><?xml version="1.0" encoding="utf-8"?>
<comments xmlns="http://schemas.openxmlformats.org/spreadsheetml/2006/main">
  <authors>
    <author> </author>
  </authors>
  <commentList>
    <comment ref="D47" authorId="0">
      <text>
        <r>
          <rPr>
            <sz val="8"/>
            <color indexed="8"/>
            <rFont val="Tahoma"/>
            <family val="2"/>
          </rPr>
          <t xml:space="preserve">The E layer is 100Km above us.
</t>
        </r>
      </text>
    </comment>
    <comment ref="H2" authorId="0">
      <text>
        <r>
          <rPr>
            <b/>
            <sz val="8"/>
            <color indexed="8"/>
            <rFont val="Tahoma"/>
            <family val="2"/>
          </rPr>
          <t>Like this !</t>
        </r>
      </text>
    </comment>
    <comment ref="H47" authorId="0">
      <text>
        <r>
          <rPr>
            <b/>
            <sz val="8"/>
            <color indexed="8"/>
            <rFont val="Tahoma"/>
            <family val="2"/>
          </rPr>
          <t>The F-Layer is between 200 - 400Km above Earth.</t>
        </r>
      </text>
    </comment>
  </commentList>
</comments>
</file>

<file path=xl/comments7.xml><?xml version="1.0" encoding="utf-8"?>
<comments xmlns="http://schemas.openxmlformats.org/spreadsheetml/2006/main">
  <authors>
    <author> </author>
  </authors>
  <commentList>
    <comment ref="E7" authorId="0">
      <text>
        <r>
          <rPr>
            <sz val="8"/>
            <color indexed="8"/>
            <rFont val="Tahoma"/>
            <family val="2"/>
          </rPr>
          <t xml:space="preserve">     _________________________________ 
 _ /|                          
|LS |               TUBE                             
    \|________________________________ 
                                    122.4
Fo Hz =                       ----------
         (Tube length in metres)+(0.3*tube diameter in metres)</t>
        </r>
      </text>
    </comment>
    <comment ref="E17" authorId="0">
      <text>
        <r>
          <rPr>
            <b/>
            <sz val="8"/>
            <color indexed="8"/>
            <rFont val="Tahoma"/>
            <family val="2"/>
          </rPr>
          <t>AUDIO FILTERS
This formula works for all of these configurations:
6db per decade.
E.g. If cutoff = 150Hz
then 1500Hz is -6db (voltage)
The cut off frequency is determined by the following formula:
              1
   -------------------
      6.283*R*C
C= FARADS
R= OHMS
                 |   |
        &gt;-----|   |------------&gt;
                 |   |       |
                              R
                              R                     = High pass
                              R
        &gt;---------------|------&gt;
       &gt;----RRR-------------&gt;
                               |
                            ------                = Low pass
                            ------
                               |
       &gt;----------------------&gt;</t>
        </r>
      </text>
    </comment>
    <comment ref="G1" authorId="0">
      <text>
        <r>
          <rPr>
            <b/>
            <sz val="8"/>
            <color indexed="8"/>
            <rFont val="Tahoma"/>
            <family val="2"/>
          </rPr>
          <t>Like this.</t>
        </r>
      </text>
    </comment>
  </commentList>
</comments>
</file>

<file path=xl/comments8.xml><?xml version="1.0" encoding="utf-8"?>
<comments xmlns="http://schemas.openxmlformats.org/spreadsheetml/2006/main">
  <authors>
    <author> </author>
  </authors>
  <commentList>
    <comment ref="E5" authorId="0">
      <text>
        <r>
          <rPr>
            <b/>
            <sz val="8"/>
            <color indexed="8"/>
            <rFont val="Tahoma"/>
            <family val="2"/>
          </rPr>
          <t xml:space="preserve">FORMULA IS
MILLIBARS = INCHES x 33.86
</t>
        </r>
      </text>
    </comment>
    <comment ref="E10" authorId="0">
      <text>
        <r>
          <rPr>
            <b/>
            <sz val="8"/>
            <color indexed="8"/>
            <rFont val="Tahoma"/>
            <family val="2"/>
          </rPr>
          <t xml:space="preserve">FORMULA IS:
Millibars
----------  = INCHES
33.86
</t>
        </r>
      </text>
    </comment>
  </commentList>
</comments>
</file>

<file path=xl/sharedStrings.xml><?xml version="1.0" encoding="utf-8"?>
<sst xmlns="http://schemas.openxmlformats.org/spreadsheetml/2006/main" count="636" uniqueCount="446">
  <si>
    <t>Andy's Tool Box (G0FTD)</t>
  </si>
  <si>
    <t>Version 3.51M August 2022</t>
  </si>
  <si>
    <t>Cells with a corner flash reveal comments and help.</t>
  </si>
  <si>
    <t xml:space="preserve"> </t>
  </si>
  <si>
    <t xml:space="preserve"> ANTENNA TUNER CALCULATOR</t>
  </si>
  <si>
    <t xml:space="preserve"> RADIO RANGE AT VHF/UHF</t>
  </si>
  <si>
    <t>ANTENNA EFFICIENCY</t>
  </si>
  <si>
    <t xml:space="preserve"> LOWPASS CONFIGURATION  </t>
  </si>
  <si>
    <t>Enter ant1 agl (m)  :</t>
  </si>
  <si>
    <t>m</t>
  </si>
  <si>
    <t>Enter radiation resistance (Ω)  :</t>
  </si>
  <si>
    <t>Ω ohms</t>
  </si>
  <si>
    <t>Enter high Z:</t>
  </si>
  <si>
    <t>Enter ant2 agl (m) :</t>
  </si>
  <si>
    <t>Enter loss in element (Ω) :</t>
  </si>
  <si>
    <t>Enter low Z:</t>
  </si>
  <si>
    <t>Enter refractive index  :</t>
  </si>
  <si>
    <t>Enter earth loss (Ω) :</t>
  </si>
  <si>
    <t>Enter fo (Mhz) :</t>
  </si>
  <si>
    <t>MHz</t>
  </si>
  <si>
    <t>Max range (km) is  =</t>
  </si>
  <si>
    <t>km</t>
  </si>
  <si>
    <t>Antenna efficiency =</t>
  </si>
  <si>
    <t>%</t>
  </si>
  <si>
    <t>X1 =</t>
  </si>
  <si>
    <t>Max range (miles) is =</t>
  </si>
  <si>
    <t>miles</t>
  </si>
  <si>
    <t>Series L =</t>
  </si>
  <si>
    <t>µH</t>
  </si>
  <si>
    <t>Sqr roots.</t>
  </si>
  <si>
    <t>IGNORE!</t>
  </si>
  <si>
    <t>P=</t>
  </si>
  <si>
    <t>GAIN vs DB VALUE</t>
  </si>
  <si>
    <t>GALACTIC NOISE LEVELS</t>
  </si>
  <si>
    <t>Q=</t>
  </si>
  <si>
    <t>Enter muliplication gain:</t>
  </si>
  <si>
    <t>Enter freq:</t>
  </si>
  <si>
    <t>X2 =</t>
  </si>
  <si>
    <t>Power gain =</t>
  </si>
  <si>
    <t>dB</t>
  </si>
  <si>
    <t>Galactic noise level is:</t>
  </si>
  <si>
    <t>dbW/Hz</t>
  </si>
  <si>
    <t>cap to gnd =</t>
  </si>
  <si>
    <t>pF</t>
  </si>
  <si>
    <t>Voltage gain =</t>
  </si>
  <si>
    <t>dbm/Hz</t>
  </si>
  <si>
    <t>2.5KHz b/w=</t>
  </si>
  <si>
    <t>250Hz b/w=</t>
  </si>
  <si>
    <t xml:space="preserve"> REACTANCE (REVERSE)</t>
  </si>
  <si>
    <t>Enter picofarads :</t>
  </si>
  <si>
    <t>Farads</t>
  </si>
  <si>
    <t xml:space="preserve"> FREE SPACE PATH LOSS   </t>
  </si>
  <si>
    <t>RADIATION RESISTANCE OF A LOOP</t>
  </si>
  <si>
    <t>Enter frequency Mhz :</t>
  </si>
  <si>
    <t>Hz</t>
  </si>
  <si>
    <t>Enter freq (Mhz)  :</t>
  </si>
  <si>
    <t>Enter wavelength:</t>
  </si>
  <si>
    <t>metres</t>
  </si>
  <si>
    <t>Capacitive reactance =</t>
  </si>
  <si>
    <t xml:space="preserve"> -J Ohms</t>
  </si>
  <si>
    <t>Enter distance (metres) :</t>
  </si>
  <si>
    <t>M</t>
  </si>
  <si>
    <t>Enter area of loop:</t>
  </si>
  <si>
    <t xml:space="preserve">Wavelength is </t>
  </si>
  <si>
    <t>λ metres</t>
  </si>
  <si>
    <t>Radiation resistance is:</t>
  </si>
  <si>
    <t>ohms</t>
  </si>
  <si>
    <t>Ignore --&gt;</t>
  </si>
  <si>
    <t>SWR (if &gt; 50 ohms):</t>
  </si>
  <si>
    <t>Enter uH :</t>
  </si>
  <si>
    <t>Henries</t>
  </si>
  <si>
    <t>And the loss is:</t>
  </si>
  <si>
    <t>SWR (if &lt; 50 ohms)</t>
  </si>
  <si>
    <t>Inductive reactance =</t>
  </si>
  <si>
    <t>+J Ohms</t>
  </si>
  <si>
    <t xml:space="preserve"> GROUND WAVE CALCULATION</t>
  </si>
  <si>
    <t>IMPEDANCE OF UNKNOWN TX LINE 1 METRE LONG !</t>
  </si>
  <si>
    <t>Ent. freq. Up to 50Mhz or so :</t>
  </si>
  <si>
    <t>Enter impedance shorted:</t>
  </si>
  <si>
    <t xml:space="preserve"> POWER RECEIVED AT RX FROM TX</t>
  </si>
  <si>
    <t>Typical ground wave range =</t>
  </si>
  <si>
    <t>Enter open circuit impedance:</t>
  </si>
  <si>
    <t>Enter ERP (watts)  :</t>
  </si>
  <si>
    <t>W</t>
  </si>
  <si>
    <t>Impedance of line is:</t>
  </si>
  <si>
    <t>Enter freq (MHz) :</t>
  </si>
  <si>
    <t>NEAR FIELD REGION AROUND ANTENNA</t>
  </si>
  <si>
    <t>Enter distance to rx (km)  :</t>
  </si>
  <si>
    <t>Enter largest antenna dimension metres =</t>
  </si>
  <si>
    <t xml:space="preserve"> LED/LAMP/NICAD RESISTORS CALC.</t>
  </si>
  <si>
    <t>Gives equivalent mileage  =</t>
  </si>
  <si>
    <t>Enter wavelength of tx =</t>
  </si>
  <si>
    <t>Enter supply volts to LED :</t>
  </si>
  <si>
    <t>V</t>
  </si>
  <si>
    <t>Means a wavelength of (m) =</t>
  </si>
  <si>
    <t>*WORKING OUT*</t>
  </si>
  <si>
    <t>Enter current for  LED (A) :</t>
  </si>
  <si>
    <t>A</t>
  </si>
  <si>
    <t xml:space="preserve">And a path loss of </t>
  </si>
  <si>
    <t>Thus near field region (metres) =</t>
  </si>
  <si>
    <t>Enter volts needed for LED :</t>
  </si>
  <si>
    <t>Watts converted to +dBm  =</t>
  </si>
  <si>
    <t>dBm</t>
  </si>
  <si>
    <t>Ignore this line</t>
  </si>
  <si>
    <t>Means power at rx  =</t>
  </si>
  <si>
    <t xml:space="preserve"> RESONANCE OF SERIES TUNED CIRCUIT</t>
  </si>
  <si>
    <t>Resistor value  =</t>
  </si>
  <si>
    <t> ohms</t>
  </si>
  <si>
    <t>Enter capacitance value (pF) :</t>
  </si>
  <si>
    <t xml:space="preserve"> REACTANCE</t>
  </si>
  <si>
    <t>Enter inductance value (µH)  :</t>
  </si>
  <si>
    <t>MILLIWATTS TO DBM</t>
  </si>
  <si>
    <t>Enter cap reactance (Ω) ohms  :</t>
  </si>
  <si>
    <t>Resonant at =</t>
  </si>
  <si>
    <t>Enter milliwatts:</t>
  </si>
  <si>
    <t>mW</t>
  </si>
  <si>
    <t>This equals:</t>
  </si>
  <si>
    <t>dbm</t>
  </si>
  <si>
    <t>Use inductor to tune out (µH) :</t>
  </si>
  <si>
    <t xml:space="preserve"> LC CIRCUIT RESONANCE PARALLEL</t>
  </si>
  <si>
    <t xml:space="preserve"> Enter capacity in pF:</t>
  </si>
  <si>
    <t>DBuV to dbm (across 50 ohms terminal EMF)</t>
  </si>
  <si>
    <t xml:space="preserve"> REACTANCE </t>
  </si>
  <si>
    <t xml:space="preserve"> Enter inductance in µH :</t>
  </si>
  <si>
    <t>Enter dbuV:</t>
  </si>
  <si>
    <t>dbµV</t>
  </si>
  <si>
    <t>Enter inductive reactance :</t>
  </si>
  <si>
    <t>Resonance is:</t>
  </si>
  <si>
    <t>This equates to:</t>
  </si>
  <si>
    <t>Use capacitor to tune out  =</t>
  </si>
  <si>
    <t xml:space="preserve"> LENGTH TO MAKE A QUARTER WAVE FEEDER</t>
  </si>
  <si>
    <t>ATTENUATION THROUGH CONCRETE</t>
  </si>
  <si>
    <t>Enter velocity factor of line:</t>
  </si>
  <si>
    <t>Mhz</t>
  </si>
  <si>
    <t>TRANSFORMER IMPEDANCE TRANSFORM RATIO</t>
  </si>
  <si>
    <t>Enter thickness:</t>
  </si>
  <si>
    <t>Enter secondary turns:</t>
  </si>
  <si>
    <t>Cut the cable to:</t>
  </si>
  <si>
    <t>Attenuation is:</t>
  </si>
  <si>
    <t>db</t>
  </si>
  <si>
    <t>Enter primary turns:</t>
  </si>
  <si>
    <t>Impedance transformation ratio is:</t>
  </si>
  <si>
    <t>times the Z</t>
  </si>
  <si>
    <t xml:space="preserve">   IMPEDANCE TRANSFORMATION WITH QUARTER WAVE LINE</t>
  </si>
  <si>
    <t xml:space="preserve">   RF POWER PROBE VOLTAGE</t>
  </si>
  <si>
    <t>Enter ANTENNA Z</t>
  </si>
  <si>
    <t>Enter measured volts:</t>
  </si>
  <si>
    <t>Volts</t>
  </si>
  <si>
    <t xml:space="preserve"> IMPEDANCE</t>
  </si>
  <si>
    <t>Enter Z of 1/4 wave line between ant and feeder:</t>
  </si>
  <si>
    <t>Enter volt drop of diode:</t>
  </si>
  <si>
    <t>Enter Real (Ω) :</t>
  </si>
  <si>
    <t>Feedpoint Z is now:</t>
  </si>
  <si>
    <t>Working out 1</t>
  </si>
  <si>
    <t>Enter reactance  in + or - format (Ω) :</t>
  </si>
  <si>
    <t>SWR relative 50R:</t>
  </si>
  <si>
    <t>if feed Z is higher than Ztx (50R)</t>
  </si>
  <si>
    <t>Power =</t>
  </si>
  <si>
    <t>Watts</t>
  </si>
  <si>
    <t>Resulting impedance (Z):</t>
  </si>
  <si>
    <t>if feed Z is lower than Ztx (50R)</t>
  </si>
  <si>
    <t>Phase difference:</t>
  </si>
  <si>
    <t>RADIANS</t>
  </si>
  <si>
    <t>º degrees</t>
  </si>
  <si>
    <t>AIR SPACED CAP DESIGN</t>
  </si>
  <si>
    <t xml:space="preserve">        DETERMINE THE IMPEDANCE OF A SOURCE</t>
  </si>
  <si>
    <t>Power factor:</t>
  </si>
  <si>
    <t>Enter dielectric constant between plates (1 for air)</t>
  </si>
  <si>
    <t>Enter unloaded voltage:</t>
  </si>
  <si>
    <t>volts</t>
  </si>
  <si>
    <t>SWR if &gt; 50R:</t>
  </si>
  <si>
    <t>Enter area of dielectric (SAME AS PLATE AREA)</t>
  </si>
  <si>
    <t>cm² (cm sq)</t>
  </si>
  <si>
    <t>Enter loaded voltage:</t>
  </si>
  <si>
    <t>SWR if &lt; 50R:</t>
  </si>
  <si>
    <t>Enter thickess of dielectric</t>
  </si>
  <si>
    <t>cm</t>
  </si>
  <si>
    <t>Enter the load (Ohms) to load the source:</t>
  </si>
  <si>
    <t>And the capacitance is =</t>
  </si>
  <si>
    <t>The source impedance (Ohms) =</t>
  </si>
  <si>
    <t>IMPEDANCE OF AN AIR DIELECTRIC COAX</t>
  </si>
  <si>
    <t>Enter inner wire diameter:</t>
  </si>
  <si>
    <t>mm</t>
  </si>
  <si>
    <t>SUPPORT PACKET RADIO !</t>
  </si>
  <si>
    <t>Enter inside diameter of the outside conductor:</t>
  </si>
  <si>
    <t>Impedance is:</t>
  </si>
  <si>
    <t>SINGLE LAYER CIRCULAR INDUCTANCE</t>
  </si>
  <si>
    <t>Enter number of turns:</t>
  </si>
  <si>
    <t>turns</t>
  </si>
  <si>
    <t xml:space="preserve"> BANDWIDTH TUNED CIRCUIT</t>
  </si>
  <si>
    <t>Enter diameter of coil:</t>
  </si>
  <si>
    <t>Enter coil Q :</t>
  </si>
  <si>
    <t>Enter length:</t>
  </si>
  <si>
    <t>Enter freq (KHz) :</t>
  </si>
  <si>
    <t>KHz</t>
  </si>
  <si>
    <t>Inductance uH is:</t>
  </si>
  <si>
    <t>uH</t>
  </si>
  <si>
    <t>3dB bandwidth =</t>
  </si>
  <si>
    <t xml:space="preserve"> SPARK GAP DISTANCE</t>
  </si>
  <si>
    <t>SKIN EFFECT</t>
  </si>
  <si>
    <t>Enter distance between plates:</t>
  </si>
  <si>
    <t>Enter resistance DC per length:</t>
  </si>
  <si>
    <t>Enter temp:</t>
  </si>
  <si>
    <t>centigrade</t>
  </si>
  <si>
    <t>Enter K (value in RFCALC.TXT):</t>
  </si>
  <si>
    <t>Delta X equals::</t>
  </si>
  <si>
    <t>Ignore this line:</t>
  </si>
  <si>
    <t>RF resistance is:</t>
  </si>
  <si>
    <t>This gap will spark out at:</t>
  </si>
  <si>
    <t>Kilovolts</t>
  </si>
  <si>
    <t>SKIN EFFECT METHOD 2</t>
  </si>
  <si>
    <t>FM BANDWIDTH</t>
  </si>
  <si>
    <t>Enter wire diam (mm):</t>
  </si>
  <si>
    <t>Enter highest modulating freq:</t>
  </si>
  <si>
    <t>Khz</t>
  </si>
  <si>
    <t>This size can be used ok below:</t>
  </si>
  <si>
    <t>Enter deviation:</t>
  </si>
  <si>
    <t>Bandwidth equals:</t>
  </si>
  <si>
    <t xml:space="preserve"> DECIBELS</t>
  </si>
  <si>
    <t>Modulation index is:</t>
  </si>
  <si>
    <t>Enter power level 1:</t>
  </si>
  <si>
    <t>watts</t>
  </si>
  <si>
    <t>Enter power level 2:</t>
  </si>
  <si>
    <t xml:space="preserve">       POLAR COORDINATES TO J OPERATOR</t>
  </si>
  <si>
    <t>db difference is:</t>
  </si>
  <si>
    <t>Enter Mag:</t>
  </si>
  <si>
    <t>Enter Phase/Ang:</t>
  </si>
  <si>
    <t>Degrees</t>
  </si>
  <si>
    <t>DECIBELS</t>
  </si>
  <si>
    <t>Real Z =</t>
  </si>
  <si>
    <t>Ohms</t>
  </si>
  <si>
    <t>Enter VOLTAGE level 1:</t>
  </si>
  <si>
    <t>VOLTS</t>
  </si>
  <si>
    <t>J =</t>
  </si>
  <si>
    <t>Enter VOLTAGE level 2:</t>
  </si>
  <si>
    <t>Version 3.5a May 2008</t>
  </si>
  <si>
    <t>Sheet 2/10</t>
  </si>
  <si>
    <t xml:space="preserve">               BASIC CALCULATIONS SPREADSHEET</t>
  </si>
  <si>
    <t xml:space="preserve">                (RMS)  DC Value from AC</t>
  </si>
  <si>
    <t xml:space="preserve">               AC VALUE FROM DC</t>
  </si>
  <si>
    <t>Enter AC value:</t>
  </si>
  <si>
    <t>pk to pk</t>
  </si>
  <si>
    <t>Enter DC value:</t>
  </si>
  <si>
    <t>Equates to a DC value:</t>
  </si>
  <si>
    <t>Equates to AC value:</t>
  </si>
  <si>
    <t>peak</t>
  </si>
  <si>
    <t>TO FIND RESISTANCE METHOD 1</t>
  </si>
  <si>
    <t>TO FIND CURRENT METHOD 1</t>
  </si>
  <si>
    <t>Enter power in watts:</t>
  </si>
  <si>
    <t>Enter current:</t>
  </si>
  <si>
    <t>Amperes</t>
  </si>
  <si>
    <t>Enter resistance:</t>
  </si>
  <si>
    <t>Thus the resistance is:</t>
  </si>
  <si>
    <t>Thus current is:</t>
  </si>
  <si>
    <t>Amps</t>
  </si>
  <si>
    <t>TO FIND RESISTANCE METHOD 2</t>
  </si>
  <si>
    <t>TO FIND CURRENT METHOD 2</t>
  </si>
  <si>
    <t>Enter voltage:</t>
  </si>
  <si>
    <t>Enter power:</t>
  </si>
  <si>
    <t>TO FIND RESISTANCE METHOD 3</t>
  </si>
  <si>
    <t>TO FIND CURRENT METHOD 3</t>
  </si>
  <si>
    <t>TO FIND VOLTAGE METHOD 1</t>
  </si>
  <si>
    <t>TO FIND POWER METHOD 1</t>
  </si>
  <si>
    <t>Thus voltage is:</t>
  </si>
  <si>
    <t>Thus power is:</t>
  </si>
  <si>
    <t>TO FIND VOLTAGE METHOD 2</t>
  </si>
  <si>
    <t>TO FIND POWER METHOD 2</t>
  </si>
  <si>
    <t>amps</t>
  </si>
  <si>
    <t>TO FIND VOLTAGE METHOD 3</t>
  </si>
  <si>
    <t>TO FIND POWER METHOD 3</t>
  </si>
  <si>
    <t>Enter resistance in ohms:</t>
  </si>
  <si>
    <t>resistance:</t>
  </si>
  <si>
    <t>Andy's Tool Box (G0FTD/ON5FM)</t>
  </si>
  <si>
    <t>Sheet 3/10</t>
  </si>
  <si>
    <t>Amidon toroid designer</t>
  </si>
  <si>
    <t xml:space="preserve">               Inductance of a powdered iron toroid wound coil (Amidon T toroids).</t>
  </si>
  <si>
    <t>Enter number of turns on toroid:</t>
  </si>
  <si>
    <t>Enter Amidon's inductance index from Amidon data uH per 100 turns:</t>
  </si>
  <si>
    <t>AL</t>
  </si>
  <si>
    <t>Total inductance equals:</t>
  </si>
  <si>
    <t xml:space="preserve">   Number of turns wound on a powdered iron toroid to have a desired inductance.</t>
  </si>
  <si>
    <t>Enter required inductance:</t>
  </si>
  <si>
    <t>Enter Amidon's inductance index:</t>
  </si>
  <si>
    <t>Number of turns required is:</t>
  </si>
  <si>
    <t xml:space="preserve">                    Inductance of a ferrite toroid wound coil (Amidon FT toroids).</t>
  </si>
  <si>
    <t>Enter Amidon's inductance index AL (mH per 1000 turns):</t>
  </si>
  <si>
    <t>Inductance equals:</t>
  </si>
  <si>
    <t>mH</t>
  </si>
  <si>
    <t xml:space="preserve">            Number of turns wound on a ferrite toroid to have a desired inductance</t>
  </si>
  <si>
    <t>Enter Amidon's inductance index (mH per 1000 turns):</t>
  </si>
  <si>
    <t>Number of turns required equals:</t>
  </si>
  <si>
    <t xml:space="preserve">                   Number of turns needed on an alternative toroid (different AL)</t>
  </si>
  <si>
    <t>Enter previous number of turns:</t>
  </si>
  <si>
    <t>Enter AL index of original toroid:</t>
  </si>
  <si>
    <t>AL 1</t>
  </si>
  <si>
    <t>Enter AL index of new toroid:</t>
  </si>
  <si>
    <t>AL 2</t>
  </si>
  <si>
    <t>Number of turns needed on new toroid equals:</t>
  </si>
  <si>
    <t>Sheet 4/10</t>
  </si>
  <si>
    <t>Information taken from Amidon catalogue.</t>
  </si>
  <si>
    <t>Amidon website</t>
  </si>
  <si>
    <t>http://www.amidoncorp.com</t>
  </si>
  <si>
    <t>Magnetic properties Iron powder cores.</t>
  </si>
  <si>
    <t>MIX      COLOUR         MATERIAL          Mu/µ   TEMP STABILITY (ppm/°C)  FREQ RANGE (Mhz)</t>
  </si>
  <si>
    <t>26       Yellow/white   Hydrogen reduced  75     825                      dc - 1</t>
  </si>
  <si>
    <t>3        Gray           Carbonyl HP       35     370                      0.05 - 0.50</t>
  </si>
  <si>
    <t>15       Red/White      Carbonyl GS6      25     190                      0.10 - 2.00</t>
  </si>
  <si>
    <t>1        Blue           Carbonyl C        20     280                      0.50 - 5.00</t>
  </si>
  <si>
    <t>2        Red            Carbonyl E        10     95                       2.00 - 30.00</t>
  </si>
  <si>
    <t>7        White          Carbonyl TH       9      30                       3.00 - 35.00</t>
  </si>
  <si>
    <t>6        Yellow         Carbonyl SF       8      35                       10.00 - 50.00</t>
  </si>
  <si>
    <t>10       Black          Powdered iron W   6      150                      30.00 - 100.00</t>
  </si>
  <si>
    <t>12       Green/white    Synthetic oxide   4      170                      50.00 - 200.00</t>
  </si>
  <si>
    <t>17       Blue/yellow    Carbonyl          4      50                       40.00 - 180.00</t>
  </si>
  <si>
    <t>0        Tan            Phenolic          1      0                        100.00 - 300.00</t>
  </si>
  <si>
    <t>Other material info</t>
  </si>
  <si>
    <t>MATERIAL 1  (µ=20):   Similar to material 3 but has higher volume resistivity.</t>
  </si>
  <si>
    <t>MATERIAL 2  (µ=10):   High Q material in the 1 to 30MHz range. Available in toroidal</t>
  </si>
  <si>
    <t xml:space="preserve">                       and shielded coil form.</t>
  </si>
  <si>
    <t>MATERIAL 3  (µ=35):   Highly stable and offers good Q in the 1 to 30MHz range.</t>
  </si>
  <si>
    <t>MATERIAL 6  (µ =8):   Similar to material 2 but offers improved Q between 20Mhz to 50MHz.</t>
  </si>
  <si>
    <t>MATERIAL 10 (µ =6):   High Q and high stability for 40MHz to 100MHz. In toroids and  shielded coil form.</t>
  </si>
  <si>
    <t>MATERIAL 12 (µ =3):   Toroids only. Good Q and moderate stability between 50MHz to 100Mhz.</t>
  </si>
  <si>
    <t>MATERIAL 15 (µ=25):   Excellent stability and Q for broadcast frequencies. (AM?)</t>
  </si>
  <si>
    <t>MATERIAL 17 (µ =3):   Similar to material 12. Better temperature stability and lower cost. Toroidal form only.</t>
  </si>
  <si>
    <t>MATERIAL 26 (µ=75):   Toroids only. Used for EMI filters and chokes.</t>
  </si>
  <si>
    <t xml:space="preserve">MATERIAL 43  (µ=800):  </t>
  </si>
  <si>
    <t>For use 0-30Mhz general purpose transformers and baluns.</t>
  </si>
  <si>
    <t xml:space="preserve">MATERIAL 61  (µ=125):  </t>
  </si>
  <si>
    <t>For use 1-30Mhz general purpose tuned circuits and baluns.</t>
  </si>
  <si>
    <t xml:space="preserve">MATERIAL 73 (µ = 2500) Primarily a ferrite bead material. Has good attenuation properties from </t>
  </si>
  <si>
    <t>1 MHZ through 50 MHz. Available in beads and some broadband multi-aperture cores.</t>
  </si>
  <si>
    <t>MATERIAL 77 (µ = 2000) Has high saturation flux density at high temperature. Low core loss in</t>
  </si>
  <si>
    <t>the 1 KHZ to 1 MHz range. For low level power conversion and wide band transformers.</t>
  </si>
  <si>
    <t xml:space="preserve">Extensively used for frequency attenuation from 0.5 MHZ to 50 MHz. Available in toroids, pot </t>
  </si>
  <si>
    <t>cores, E-cores, beads, broadband balun cores and sleeves. An upgrade of the former 72 material.</t>
  </si>
  <si>
    <t>The 72 material is still available in some sizes, but the 77 material should be used in all new design.</t>
  </si>
  <si>
    <t>MATERIAL 'F' (µ = 3000) High saturation flux density at high temperature. For power conversion</t>
  </si>
  <si>
    <t>transformers. Good frequency attenuation 0.5 MHZ to 50 MHz. Toroids only.</t>
  </si>
  <si>
    <t>MATERIAL ' J '/75 ( µ = 5000 ) Low volume resistivity and low core loss from 1 KHZ to 1MHz.</t>
  </si>
  <si>
    <t xml:space="preserve">Used for pulse transformers and low level wide band transformers. Excellent frequency </t>
  </si>
  <si>
    <t xml:space="preserve">attenuation from 0.5 MHZ to 20 MHz. Available in toroidal form and ferrite beads as standard off </t>
  </si>
  <si>
    <t>the shelf in stock. Also available in pot cores, RM cores, E &amp; U cores as custom ordered parts</t>
  </si>
  <si>
    <t>with lead time for delivery.</t>
  </si>
  <si>
    <t xml:space="preserve">MATERIAL K ( µ= 290 ). Used primarily in transmission line transformers from 1.0 MHZ to 50 MHZ </t>
  </si>
  <si>
    <t>range. Available from stock in a few sizes in toroidal form only.</t>
  </si>
  <si>
    <t xml:space="preserve">MATERIAL W (µ = 10,000). High permeability material used for frequency attenuation from 100 </t>
  </si>
  <si>
    <t>KHZ to 1 MHZ in EMI/RFI filters. Also used in broadband transformers. Available in toroidal form</t>
  </si>
  <si>
    <t>from stock. As custom ordered parts for pot cores, EP cores, RM cores.</t>
  </si>
  <si>
    <t>MATERIAL H (µ = 15,000). High h permeability material used for frequency attenuation under</t>
  </si>
  <si>
    <t>200 KHz. Also used in broadband transformers. Available in toroidal form only.</t>
  </si>
  <si>
    <t>PHYSICAL DIMENSIONS OF COMMON TOROIDS</t>
  </si>
  <si>
    <t>[NOT A COMPLETE LIST]</t>
  </si>
  <si>
    <t>CORE     OD INCHES     ID INCHES     HEIGHT INCHES</t>
  </si>
  <si>
    <t>FT23     0.23          0.12          0.060</t>
  </si>
  <si>
    <t>FT37     0.375         0.187         0.125</t>
  </si>
  <si>
    <t>FT50     0.500         0.281         0.188</t>
  </si>
  <si>
    <t>FT82     0.825         0.520         0.250</t>
  </si>
  <si>
    <t>FT144    1.142         0.750         0.295</t>
  </si>
  <si>
    <t>FT140    1.400         0.900         0.500</t>
  </si>
  <si>
    <t>FT193    1.932         1.250         0.750</t>
  </si>
  <si>
    <t xml:space="preserve">FT240    2.400         1.400         0.500    </t>
  </si>
  <si>
    <t>T-12     0.125         0.062         0.050</t>
  </si>
  <si>
    <t>T-20     0.200         0.088         0.070</t>
  </si>
  <si>
    <t>T-37     0.375         0.205         0.128</t>
  </si>
  <si>
    <t>T-68     0.690         0.370         0.190</t>
  </si>
  <si>
    <t>T-106    1.060         0.570         0.437</t>
  </si>
  <si>
    <t>T-157    1.570         0.950         0.570</t>
  </si>
  <si>
    <t>T-184    1.840         0.950         0.710</t>
  </si>
  <si>
    <t xml:space="preserve">T-500    5.200         3.080         0.800  </t>
  </si>
  <si>
    <t>Formula may not work on all spreadsheet software !</t>
  </si>
  <si>
    <t>Sheet 6/10</t>
  </si>
  <si>
    <t>Grid V1.0</t>
  </si>
  <si>
    <t>My Locator</t>
  </si>
  <si>
    <t>JO01MI</t>
  </si>
  <si>
    <t>Adapted from the ukrepeater.net spreadsheet</t>
  </si>
  <si>
    <t>Deg/Rad :</t>
  </si>
  <si>
    <t>DX Locator</t>
  </si>
  <si>
    <t>Distance (miles)</t>
  </si>
  <si>
    <t>Distance (Km)</t>
  </si>
  <si>
    <t>Bearing</t>
  </si>
  <si>
    <t>Reverse beam heading</t>
  </si>
  <si>
    <t>Local Lat</t>
  </si>
  <si>
    <t>Dist Lat</t>
  </si>
  <si>
    <t>Diff Long</t>
  </si>
  <si>
    <t>Path Rad</t>
  </si>
  <si>
    <t>Back</t>
  </si>
  <si>
    <t>JN76pf</t>
  </si>
  <si>
    <t>Cells with corner flash = help hints</t>
  </si>
  <si>
    <t>Sheet 7/10</t>
  </si>
  <si>
    <t>A rough guide to coax losses for 0.1db</t>
  </si>
  <si>
    <t>Matched lines only.</t>
  </si>
  <si>
    <t>RG58 5mm style coax</t>
  </si>
  <si>
    <t>3.5     28     50     144    433  MHZ</t>
  </si>
  <si>
    <t>Capacitance per 30cm/1ft)</t>
  </si>
  <si>
    <t>14      5      3      2      1    FEET</t>
  </si>
  <si>
    <t>Min:24.5pF Avg:29.8pF Max:36pF</t>
  </si>
  <si>
    <t>Voltage handling = 1400v rms</t>
  </si>
  <si>
    <t>RG8 10mm style coax</t>
  </si>
  <si>
    <t>32      10     8      4      2    FEET</t>
  </si>
  <si>
    <t>Min:20.5pF Avg:25pF Max:29.5pF</t>
  </si>
  <si>
    <t>Voltage handling = 550v rms</t>
  </si>
  <si>
    <t>RG174 2.5mm style coax</t>
  </si>
  <si>
    <t>1.0     10.0   100.0   1000.0     MHZ</t>
  </si>
  <si>
    <t>Capacitance per ft = 30pF</t>
  </si>
  <si>
    <t xml:space="preserve">1.9     3.3    8.4     34         LOSS DB/100FT </t>
  </si>
  <si>
    <t>Voltage handling = 1100v rms</t>
  </si>
  <si>
    <t>300 ohm twin</t>
  </si>
  <si>
    <t>Capacitance per metre = 13.2 pF</t>
  </si>
  <si>
    <t>--      18     14     8      4    FEET</t>
  </si>
  <si>
    <t>Example at 50Mhz using RG58 coax and using 6 feet of coax you will have 0.2db loss.</t>
  </si>
  <si>
    <t>CAPACITOR MARKINGS</t>
  </si>
  <si>
    <t>nF</t>
  </si>
  <si>
    <t>mF,uF,mfd</t>
  </si>
  <si>
    <t>CODE</t>
  </si>
  <si>
    <t>1000pf</t>
  </si>
  <si>
    <t>1nF</t>
  </si>
  <si>
    <t>1500pF</t>
  </si>
  <si>
    <t>1.5nF</t>
  </si>
  <si>
    <t>E layer angle of radiation vs distance</t>
  </si>
  <si>
    <t>F-layer angle of radiation vs distance</t>
  </si>
  <si>
    <t>Miles per hop</t>
  </si>
  <si>
    <t>Km per hop</t>
  </si>
  <si>
    <t>Cells with a corner flash reveal help.</t>
  </si>
  <si>
    <t>Sheet 8/10</t>
  </si>
  <si>
    <t>RESONANT QUARTER WAVE OF A TUBE BAFFLE</t>
  </si>
  <si>
    <t>GOOD FOR MAKING RESONANT SPEAKER ON CW!</t>
  </si>
  <si>
    <t>Enter tube diameter:</t>
  </si>
  <si>
    <t>Enter tube length:</t>
  </si>
  <si>
    <t>This is a resonant quarter wave at:</t>
  </si>
  <si>
    <t>A tube placed over an audio speaker can be used to enhance a specific</t>
  </si>
  <si>
    <t>frequency such as a CW signal. Use a tube resonated to your preferred</t>
  </si>
  <si>
    <t>cw beat note and place over the speaker. Other frequencies not at</t>
  </si>
  <si>
    <t>your chosen beat note will be attenuated.</t>
  </si>
  <si>
    <t>RC AF FILTER CUT OFF FREQ</t>
  </si>
  <si>
    <t>Enter capacitance:</t>
  </si>
  <si>
    <t>uF</t>
  </si>
  <si>
    <t>Working out (ignore!)</t>
  </si>
  <si>
    <t>Cut off freq =</t>
  </si>
  <si>
    <t>Version 3.3b September 2007</t>
  </si>
  <si>
    <t>Sheet 10/10</t>
  </si>
  <si>
    <t>BAROMETER PRESSURE CONVERSION</t>
  </si>
  <si>
    <t>Enter inches:</t>
  </si>
  <si>
    <t>Millibars =</t>
  </si>
  <si>
    <t>Enter millibars:</t>
  </si>
  <si>
    <t>Inches =</t>
  </si>
</sst>
</file>

<file path=xl/styles.xml><?xml version="1.0" encoding="utf-8"?>
<styleSheet xmlns="http://schemas.openxmlformats.org/spreadsheetml/2006/main">
  <numFmts count="3">
    <numFmt numFmtId="164" formatCode="General"/>
    <numFmt numFmtId="165" formatCode="0.00E+00"/>
    <numFmt numFmtId="166" formatCode="0.000"/>
  </numFmts>
  <fonts count="47">
    <font>
      <sz val="12"/>
      <name val="Arial"/>
      <family val="2"/>
    </font>
    <font>
      <sz val="10"/>
      <name val="Arial"/>
      <family val="0"/>
    </font>
    <font>
      <b/>
      <sz val="12"/>
      <name val="Arial"/>
      <family val="2"/>
    </font>
    <font>
      <b/>
      <sz val="8"/>
      <name val="Arial"/>
      <family val="2"/>
    </font>
    <font>
      <sz val="10"/>
      <color indexed="12"/>
      <name val="Arial"/>
      <family val="2"/>
    </font>
    <font>
      <sz val="10"/>
      <color indexed="10"/>
      <name val="Arial"/>
      <family val="2"/>
    </font>
    <font>
      <sz val="10"/>
      <color indexed="9"/>
      <name val="Arial"/>
      <family val="2"/>
    </font>
    <font>
      <sz val="12"/>
      <color indexed="48"/>
      <name val="Arial"/>
      <family val="2"/>
    </font>
    <font>
      <sz val="12"/>
      <color indexed="12"/>
      <name val="Arial"/>
      <family val="2"/>
    </font>
    <font>
      <sz val="12"/>
      <color indexed="10"/>
      <name val="Arial"/>
      <family val="2"/>
    </font>
    <font>
      <sz val="10"/>
      <color indexed="24"/>
      <name val="Arial"/>
      <family val="2"/>
    </font>
    <font>
      <sz val="10"/>
      <color indexed="48"/>
      <name val="Arial"/>
      <family val="2"/>
    </font>
    <font>
      <sz val="10"/>
      <color indexed="53"/>
      <name val="Arial"/>
      <family val="2"/>
    </font>
    <font>
      <sz val="10"/>
      <color indexed="8"/>
      <name val="Arial"/>
      <family val="2"/>
    </font>
    <font>
      <sz val="10"/>
      <color indexed="54"/>
      <name val="Arial"/>
      <family val="2"/>
    </font>
    <font>
      <sz val="10"/>
      <color indexed="62"/>
      <name val="Arial"/>
      <family val="2"/>
    </font>
    <font>
      <b/>
      <sz val="12"/>
      <color indexed="56"/>
      <name val="Arial"/>
      <family val="2"/>
    </font>
    <font>
      <b/>
      <sz val="12"/>
      <color indexed="60"/>
      <name val="Arial"/>
      <family val="2"/>
    </font>
    <font>
      <b/>
      <sz val="10"/>
      <color indexed="60"/>
      <name val="Times New Roman"/>
      <family val="1"/>
    </font>
    <font>
      <b/>
      <sz val="8"/>
      <color indexed="8"/>
      <name val="Tahoma"/>
      <family val="2"/>
    </font>
    <font>
      <sz val="8"/>
      <color indexed="8"/>
      <name val="Tahoma"/>
      <family val="2"/>
    </font>
    <font>
      <b/>
      <sz val="11"/>
      <color indexed="8"/>
      <name val="Arial"/>
      <family val="2"/>
    </font>
    <font>
      <sz val="9.25"/>
      <color indexed="8"/>
      <name val="Arial"/>
      <family val="2"/>
    </font>
    <font>
      <b/>
      <sz val="9.25"/>
      <color indexed="8"/>
      <name val="Arial"/>
      <family val="2"/>
    </font>
    <font>
      <b/>
      <sz val="12"/>
      <color indexed="12"/>
      <name val="Arial"/>
      <family val="2"/>
    </font>
    <font>
      <b/>
      <sz val="12"/>
      <color indexed="10"/>
      <name val="Arial"/>
      <family val="2"/>
    </font>
    <font>
      <b/>
      <sz val="12"/>
      <color indexed="8"/>
      <name val="Arial"/>
      <family val="2"/>
    </font>
    <font>
      <sz val="8"/>
      <color indexed="12"/>
      <name val="Arial"/>
      <family val="2"/>
    </font>
    <font>
      <u val="single"/>
      <sz val="10.45"/>
      <color indexed="12"/>
      <name val="Arial"/>
      <family val="2"/>
    </font>
    <font>
      <sz val="10"/>
      <name val="Courier New"/>
      <family val="3"/>
    </font>
    <font>
      <b/>
      <sz val="11"/>
      <name val="Arial"/>
      <family val="2"/>
    </font>
    <font>
      <sz val="11"/>
      <name val="Arial"/>
      <family val="2"/>
    </font>
    <font>
      <sz val="11"/>
      <name val="Times New Roman"/>
      <family val="1"/>
    </font>
    <font>
      <b/>
      <sz val="12"/>
      <name val="Courier New"/>
      <family val="3"/>
    </font>
    <font>
      <sz val="10"/>
      <name val="Verdana"/>
      <family val="2"/>
    </font>
    <font>
      <b/>
      <sz val="9"/>
      <name val="Verdana"/>
      <family val="2"/>
    </font>
    <font>
      <b/>
      <sz val="9"/>
      <color indexed="12"/>
      <name val="Verdana"/>
      <family val="2"/>
    </font>
    <font>
      <sz val="8"/>
      <name val="Verdana"/>
      <family val="2"/>
    </font>
    <font>
      <b/>
      <sz val="9"/>
      <color indexed="10"/>
      <name val="Verdana"/>
      <family val="2"/>
    </font>
    <font>
      <sz val="7"/>
      <name val="Verdana"/>
      <family val="2"/>
    </font>
    <font>
      <b/>
      <sz val="12"/>
      <color indexed="14"/>
      <name val="Arial"/>
      <family val="2"/>
    </font>
    <font>
      <b/>
      <sz val="8.75"/>
      <color indexed="8"/>
      <name val="Arial"/>
      <family val="2"/>
    </font>
    <font>
      <sz val="8"/>
      <color indexed="8"/>
      <name val="Arial"/>
      <family val="2"/>
    </font>
    <font>
      <b/>
      <sz val="8"/>
      <color indexed="8"/>
      <name val="Arial"/>
      <family val="2"/>
    </font>
    <font>
      <b/>
      <sz val="8.25"/>
      <color indexed="8"/>
      <name val="Arial"/>
      <family val="2"/>
    </font>
    <font>
      <b/>
      <sz val="11"/>
      <color indexed="12"/>
      <name val="Arial"/>
      <family val="2"/>
    </font>
    <font>
      <b/>
      <sz val="11"/>
      <color indexed="10"/>
      <name val="Arial"/>
      <family val="2"/>
    </font>
  </fonts>
  <fills count="7">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indexed="10"/>
        <bgColor indexed="64"/>
      </patternFill>
    </fill>
    <fill>
      <patternFill patternType="solid">
        <fgColor indexed="44"/>
        <bgColor indexed="64"/>
      </patternFill>
    </fill>
  </fills>
  <borders count="26">
    <border>
      <left/>
      <right/>
      <top/>
      <bottom/>
      <diagonal/>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style="thin">
        <color indexed="9"/>
      </left>
      <right>
        <color indexed="63"/>
      </right>
      <top>
        <color indexed="63"/>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color indexed="63"/>
      </right>
      <top style="medium">
        <color indexed="8"/>
      </top>
      <bottom>
        <color indexed="63"/>
      </bottom>
    </border>
    <border>
      <left style="medium">
        <color indexed="9"/>
      </left>
      <right>
        <color indexed="63"/>
      </right>
      <top>
        <color indexed="63"/>
      </top>
      <bottom>
        <color indexed="63"/>
      </bottom>
    </border>
    <border>
      <left style="medium">
        <color indexed="16"/>
      </left>
      <right>
        <color indexed="63"/>
      </right>
      <top style="medium">
        <color indexed="16"/>
      </top>
      <bottom>
        <color indexed="63"/>
      </bottom>
    </border>
    <border>
      <left style="medium">
        <color indexed="16"/>
      </left>
      <right>
        <color indexed="63"/>
      </right>
      <top>
        <color indexed="63"/>
      </top>
      <bottom>
        <color indexed="63"/>
      </bottom>
    </border>
    <border>
      <left>
        <color indexed="63"/>
      </left>
      <right>
        <color indexed="63"/>
      </right>
      <top style="medium">
        <color indexed="16"/>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color indexed="63"/>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8" fillId="0" borderId="0" applyNumberFormat="0" applyFill="0" applyBorder="0" applyAlignment="0" applyProtection="0"/>
    <xf numFmtId="164" fontId="1" fillId="0" borderId="0">
      <alignment/>
      <protection/>
    </xf>
  </cellStyleXfs>
  <cellXfs count="230">
    <xf numFmtId="164" fontId="0" fillId="0" borderId="0" xfId="0" applyAlignment="1">
      <alignment/>
    </xf>
    <xf numFmtId="164" fontId="0" fillId="0" borderId="0" xfId="0" applyNumberFormat="1" applyFont="1" applyBorder="1" applyAlignment="1">
      <alignment/>
    </xf>
    <xf numFmtId="164" fontId="2" fillId="0" borderId="0" xfId="0" applyNumberFormat="1" applyFont="1" applyBorder="1" applyAlignment="1">
      <alignment/>
    </xf>
    <xf numFmtId="164" fontId="3" fillId="0" borderId="0" xfId="0" applyNumberFormat="1" applyFont="1" applyBorder="1" applyAlignment="1">
      <alignment/>
    </xf>
    <xf numFmtId="164" fontId="1" fillId="0" borderId="1" xfId="0" applyNumberFormat="1" applyFont="1" applyBorder="1" applyAlignment="1">
      <alignment horizontal="center"/>
    </xf>
    <xf numFmtId="164" fontId="1" fillId="0" borderId="2" xfId="0" applyNumberFormat="1" applyFont="1" applyBorder="1" applyAlignment="1">
      <alignment/>
    </xf>
    <xf numFmtId="164" fontId="1" fillId="0" borderId="3" xfId="0" applyNumberFormat="1" applyFont="1" applyBorder="1" applyAlignment="1">
      <alignment horizontal="center"/>
    </xf>
    <xf numFmtId="164" fontId="1" fillId="0" borderId="2" xfId="0" applyNumberFormat="1" applyFont="1" applyBorder="1" applyAlignment="1">
      <alignment horizontal="center"/>
    </xf>
    <xf numFmtId="164" fontId="4" fillId="0" borderId="2" xfId="0" applyNumberFormat="1" applyFont="1" applyBorder="1" applyAlignment="1">
      <alignment horizontal="left"/>
    </xf>
    <xf numFmtId="164" fontId="4" fillId="0" borderId="0" xfId="0" applyNumberFormat="1" applyFont="1" applyBorder="1" applyAlignment="1">
      <alignment horizontal="center"/>
    </xf>
    <xf numFmtId="164" fontId="4" fillId="0" borderId="0" xfId="0" applyNumberFormat="1" applyFont="1" applyBorder="1" applyAlignment="1">
      <alignment/>
    </xf>
    <xf numFmtId="164" fontId="4" fillId="0" borderId="4" xfId="0" applyNumberFormat="1" applyFont="1" applyBorder="1" applyAlignment="1">
      <alignment/>
    </xf>
    <xf numFmtId="164" fontId="5" fillId="0" borderId="2" xfId="0" applyNumberFormat="1" applyFont="1" applyBorder="1" applyAlignment="1">
      <alignment horizontal="left"/>
    </xf>
    <xf numFmtId="164" fontId="5" fillId="0" borderId="0" xfId="0" applyNumberFormat="1" applyFont="1" applyBorder="1" applyAlignment="1">
      <alignment horizontal="center"/>
    </xf>
    <xf numFmtId="164" fontId="5" fillId="0" borderId="0" xfId="0" applyNumberFormat="1" applyFont="1" applyBorder="1" applyAlignment="1">
      <alignment/>
    </xf>
    <xf numFmtId="164" fontId="5" fillId="0" borderId="5" xfId="0" applyNumberFormat="1" applyFont="1" applyBorder="1" applyAlignment="1">
      <alignment horizontal="left"/>
    </xf>
    <xf numFmtId="164" fontId="5" fillId="0" borderId="6" xfId="0" applyNumberFormat="1" applyFont="1" applyBorder="1" applyAlignment="1">
      <alignment horizontal="center"/>
    </xf>
    <xf numFmtId="164" fontId="5" fillId="0" borderId="6" xfId="0" applyNumberFormat="1" applyFont="1" applyBorder="1" applyAlignment="1">
      <alignment/>
    </xf>
    <xf numFmtId="164" fontId="5" fillId="0" borderId="7" xfId="0" applyNumberFormat="1" applyFont="1" applyBorder="1" applyAlignment="1">
      <alignment/>
    </xf>
    <xf numFmtId="164" fontId="6" fillId="0" borderId="8" xfId="0" applyNumberFormat="1" applyFont="1" applyBorder="1" applyAlignment="1">
      <alignment/>
    </xf>
    <xf numFmtId="164" fontId="1" fillId="0" borderId="0" xfId="0" applyNumberFormat="1" applyFont="1" applyBorder="1" applyAlignment="1">
      <alignment/>
    </xf>
    <xf numFmtId="164" fontId="7" fillId="0" borderId="2" xfId="0" applyNumberFormat="1" applyFont="1" applyBorder="1" applyAlignment="1">
      <alignment/>
    </xf>
    <xf numFmtId="164" fontId="7" fillId="0" borderId="0" xfId="0" applyNumberFormat="1" applyFont="1" applyBorder="1" applyAlignment="1">
      <alignment/>
    </xf>
    <xf numFmtId="164" fontId="7" fillId="0" borderId="4" xfId="0" applyNumberFormat="1" applyFont="1" applyBorder="1" applyAlignment="1">
      <alignment/>
    </xf>
    <xf numFmtId="164" fontId="8" fillId="0" borderId="2" xfId="0" applyNumberFormat="1" applyFont="1" applyFill="1" applyBorder="1" applyAlignment="1">
      <alignment/>
    </xf>
    <xf numFmtId="164" fontId="8" fillId="0" borderId="0" xfId="0" applyNumberFormat="1" applyFont="1" applyBorder="1" applyAlignment="1">
      <alignment/>
    </xf>
    <xf numFmtId="164" fontId="8" fillId="0" borderId="4" xfId="0" applyNumberFormat="1" applyFont="1" applyBorder="1" applyAlignment="1">
      <alignment/>
    </xf>
    <xf numFmtId="164" fontId="9" fillId="0" borderId="2" xfId="0" applyNumberFormat="1" applyFont="1" applyBorder="1" applyAlignment="1">
      <alignment/>
    </xf>
    <xf numFmtId="164" fontId="9" fillId="0" borderId="0" xfId="0" applyNumberFormat="1" applyFont="1" applyBorder="1" applyAlignment="1">
      <alignment/>
    </xf>
    <xf numFmtId="164" fontId="9" fillId="0" borderId="4" xfId="0" applyNumberFormat="1" applyFont="1" applyBorder="1" applyAlignment="1">
      <alignment/>
    </xf>
    <xf numFmtId="164" fontId="9" fillId="0" borderId="2" xfId="0" applyNumberFormat="1" applyFont="1" applyFill="1" applyBorder="1" applyAlignment="1">
      <alignment/>
    </xf>
    <xf numFmtId="164" fontId="0" fillId="0" borderId="0" xfId="0" applyBorder="1" applyAlignment="1">
      <alignment/>
    </xf>
    <xf numFmtId="164" fontId="1" fillId="0" borderId="8" xfId="0" applyNumberFormat="1" applyFont="1" applyBorder="1" applyAlignment="1">
      <alignment/>
    </xf>
    <xf numFmtId="164" fontId="5" fillId="0" borderId="5" xfId="0" applyNumberFormat="1" applyFont="1" applyBorder="1" applyAlignment="1">
      <alignment horizontal="center"/>
    </xf>
    <xf numFmtId="164" fontId="5" fillId="2" borderId="5" xfId="0" applyNumberFormat="1" applyFont="1" applyFill="1" applyBorder="1" applyAlignment="1">
      <alignment/>
    </xf>
    <xf numFmtId="164" fontId="5" fillId="2" borderId="6" xfId="0" applyNumberFormat="1" applyFont="1" applyFill="1" applyBorder="1" applyAlignment="1">
      <alignment/>
    </xf>
    <xf numFmtId="164" fontId="5" fillId="3" borderId="6" xfId="0" applyNumberFormat="1" applyFont="1" applyFill="1" applyBorder="1" applyAlignment="1">
      <alignment/>
    </xf>
    <xf numFmtId="164" fontId="5" fillId="3" borderId="7" xfId="0" applyNumberFormat="1" applyFont="1" applyFill="1" applyBorder="1" applyAlignment="1">
      <alignment/>
    </xf>
    <xf numFmtId="164" fontId="1" fillId="0" borderId="0" xfId="0" applyNumberFormat="1" applyFont="1" applyBorder="1" applyAlignment="1">
      <alignment horizontal="center"/>
    </xf>
    <xf numFmtId="164" fontId="10" fillId="0" borderId="2" xfId="0" applyFont="1" applyBorder="1" applyAlignment="1">
      <alignment/>
    </xf>
    <xf numFmtId="164" fontId="10" fillId="0" borderId="0" xfId="0" applyFont="1" applyAlignment="1">
      <alignment/>
    </xf>
    <xf numFmtId="164" fontId="10" fillId="0" borderId="4" xfId="0" applyFont="1" applyBorder="1" applyAlignment="1">
      <alignment/>
    </xf>
    <xf numFmtId="164" fontId="11" fillId="0" borderId="2" xfId="0" applyNumberFormat="1" applyFont="1" applyFill="1" applyBorder="1" applyAlignment="1">
      <alignment/>
    </xf>
    <xf numFmtId="164" fontId="11" fillId="0" borderId="0" xfId="0" applyNumberFormat="1" applyFont="1" applyBorder="1" applyAlignment="1">
      <alignment/>
    </xf>
    <xf numFmtId="164" fontId="11" fillId="0" borderId="4" xfId="0" applyNumberFormat="1" applyFont="1" applyBorder="1" applyAlignment="1">
      <alignment/>
    </xf>
    <xf numFmtId="164" fontId="12" fillId="0" borderId="5" xfId="0" applyFont="1" applyBorder="1" applyAlignment="1">
      <alignment/>
    </xf>
    <xf numFmtId="164" fontId="12" fillId="0" borderId="6" xfId="0" applyFont="1" applyBorder="1" applyAlignment="1">
      <alignment/>
    </xf>
    <xf numFmtId="164" fontId="12" fillId="0" borderId="6" xfId="0" applyFont="1" applyBorder="1" applyAlignment="1">
      <alignment horizontal="right"/>
    </xf>
    <xf numFmtId="164" fontId="1" fillId="0" borderId="7" xfId="0" applyFont="1" applyBorder="1" applyAlignment="1">
      <alignment/>
    </xf>
    <xf numFmtId="164" fontId="5" fillId="0" borderId="2" xfId="0" applyNumberFormat="1" applyFont="1" applyFill="1" applyBorder="1" applyAlignment="1">
      <alignment/>
    </xf>
    <xf numFmtId="164" fontId="5" fillId="0" borderId="4" xfId="0" applyNumberFormat="1" applyFont="1" applyBorder="1" applyAlignment="1">
      <alignment/>
    </xf>
    <xf numFmtId="164" fontId="13" fillId="0" borderId="2" xfId="0" applyNumberFormat="1" applyFont="1" applyBorder="1" applyAlignment="1">
      <alignment horizontal="left"/>
    </xf>
    <xf numFmtId="164" fontId="13" fillId="0" borderId="0" xfId="0" applyNumberFormat="1" applyFont="1" applyBorder="1" applyAlignment="1">
      <alignment/>
    </xf>
    <xf numFmtId="164" fontId="12" fillId="0" borderId="2" xfId="0" applyFont="1" applyBorder="1" applyAlignment="1">
      <alignment/>
    </xf>
    <xf numFmtId="164" fontId="12" fillId="0" borderId="0" xfId="0" applyFont="1" applyAlignment="1">
      <alignment/>
    </xf>
    <xf numFmtId="164" fontId="12" fillId="0" borderId="4" xfId="0" applyFont="1" applyBorder="1" applyAlignment="1">
      <alignment/>
    </xf>
    <xf numFmtId="164" fontId="5" fillId="0" borderId="5" xfId="0" applyNumberFormat="1" applyFont="1" applyFill="1" applyBorder="1" applyAlignment="1">
      <alignment/>
    </xf>
    <xf numFmtId="164" fontId="10" fillId="0" borderId="5" xfId="0" applyFont="1" applyBorder="1" applyAlignment="1">
      <alignment/>
    </xf>
    <xf numFmtId="164" fontId="10" fillId="0" borderId="6" xfId="0" applyFont="1" applyBorder="1" applyAlignment="1">
      <alignment/>
    </xf>
    <xf numFmtId="164" fontId="10" fillId="0" borderId="6" xfId="0" applyFont="1" applyBorder="1" applyAlignment="1">
      <alignment horizontal="right"/>
    </xf>
    <xf numFmtId="164" fontId="10" fillId="0" borderId="7" xfId="0" applyFont="1" applyBorder="1" applyAlignment="1">
      <alignment/>
    </xf>
    <xf numFmtId="164" fontId="13" fillId="0" borderId="3" xfId="0" applyNumberFormat="1" applyFont="1" applyBorder="1" applyAlignment="1">
      <alignment horizontal="center"/>
    </xf>
    <xf numFmtId="164" fontId="4" fillId="0" borderId="2" xfId="0" applyNumberFormat="1" applyFont="1" applyBorder="1" applyAlignment="1">
      <alignment/>
    </xf>
    <xf numFmtId="164" fontId="4" fillId="0" borderId="0" xfId="0" applyNumberFormat="1" applyFont="1" applyBorder="1" applyAlignment="1">
      <alignment horizontal="left"/>
    </xf>
    <xf numFmtId="164" fontId="5" fillId="0" borderId="8" xfId="0" applyNumberFormat="1" applyFont="1" applyBorder="1" applyAlignment="1">
      <alignment horizontal="center"/>
    </xf>
    <xf numFmtId="164" fontId="5" fillId="0" borderId="5" xfId="0" applyNumberFormat="1" applyFont="1" applyBorder="1" applyAlignment="1">
      <alignment/>
    </xf>
    <xf numFmtId="164" fontId="13" fillId="0" borderId="1" xfId="0" applyNumberFormat="1" applyFont="1" applyBorder="1" applyAlignment="1">
      <alignment horizontal="center"/>
    </xf>
    <xf numFmtId="164" fontId="11" fillId="0" borderId="2" xfId="0" applyNumberFormat="1" applyFont="1" applyBorder="1" applyAlignment="1" applyProtection="1">
      <alignment horizontal="left"/>
      <protection locked="0"/>
    </xf>
    <xf numFmtId="164" fontId="11" fillId="0" borderId="0" xfId="0" applyNumberFormat="1" applyFont="1" applyBorder="1" applyAlignment="1" applyProtection="1">
      <alignment/>
      <protection locked="0"/>
    </xf>
    <xf numFmtId="164" fontId="5" fillId="0" borderId="0" xfId="0" applyNumberFormat="1" applyFont="1" applyBorder="1" applyAlignment="1">
      <alignment horizontal="left"/>
    </xf>
    <xf numFmtId="164" fontId="1" fillId="0" borderId="0" xfId="0" applyNumberFormat="1" applyFont="1" applyBorder="1" applyAlignment="1">
      <alignment horizontal="left"/>
    </xf>
    <xf numFmtId="164" fontId="11" fillId="4" borderId="0" xfId="0" applyNumberFormat="1" applyFont="1" applyFill="1" applyBorder="1" applyAlignment="1" applyProtection="1">
      <alignment/>
      <protection locked="0"/>
    </xf>
    <xf numFmtId="164" fontId="5" fillId="0" borderId="2" xfId="0" applyNumberFormat="1" applyFont="1" applyBorder="1" applyAlignment="1" applyProtection="1">
      <alignment horizontal="left"/>
      <protection locked="0"/>
    </xf>
    <xf numFmtId="164" fontId="5" fillId="0" borderId="0" xfId="0" applyNumberFormat="1" applyFont="1" applyBorder="1" applyAlignment="1" applyProtection="1">
      <alignment/>
      <protection locked="0"/>
    </xf>
    <xf numFmtId="164" fontId="1" fillId="0" borderId="4" xfId="0" applyNumberFormat="1" applyFont="1" applyBorder="1" applyAlignment="1">
      <alignment/>
    </xf>
    <xf numFmtId="164" fontId="13" fillId="0" borderId="2" xfId="0" applyNumberFormat="1" applyFont="1" applyBorder="1" applyAlignment="1">
      <alignment horizontal="center"/>
    </xf>
    <xf numFmtId="164" fontId="13" fillId="0" borderId="0" xfId="0" applyNumberFormat="1" applyFont="1" applyBorder="1" applyAlignment="1">
      <alignment horizontal="left"/>
    </xf>
    <xf numFmtId="164" fontId="13" fillId="0" borderId="4" xfId="0" applyNumberFormat="1" applyFont="1" applyBorder="1" applyAlignment="1">
      <alignment horizontal="center"/>
    </xf>
    <xf numFmtId="164" fontId="4" fillId="0" borderId="5" xfId="0" applyNumberFormat="1" applyFont="1" applyBorder="1" applyAlignment="1">
      <alignment horizontal="left"/>
    </xf>
    <xf numFmtId="164" fontId="4" fillId="0" borderId="6" xfId="0" applyNumberFormat="1" applyFont="1" applyBorder="1" applyAlignment="1">
      <alignment horizontal="center"/>
    </xf>
    <xf numFmtId="164" fontId="4" fillId="0" borderId="6" xfId="0" applyNumberFormat="1" applyFont="1" applyBorder="1" applyAlignment="1">
      <alignment horizontal="justify" vertical="center" wrapText="1"/>
    </xf>
    <xf numFmtId="164" fontId="4" fillId="0" borderId="7" xfId="0" applyNumberFormat="1" applyFont="1" applyBorder="1" applyAlignment="1">
      <alignment horizontal="justify" vertical="center" wrapText="1"/>
    </xf>
    <xf numFmtId="164" fontId="4" fillId="0" borderId="8" xfId="0" applyNumberFormat="1" applyFont="1" applyBorder="1" applyAlignment="1">
      <alignment horizontal="center"/>
    </xf>
    <xf numFmtId="164" fontId="4" fillId="0" borderId="8" xfId="0" applyNumberFormat="1" applyFont="1" applyBorder="1" applyAlignment="1">
      <alignment/>
    </xf>
    <xf numFmtId="165" fontId="6" fillId="0" borderId="0" xfId="0" applyNumberFormat="1" applyFont="1" applyBorder="1" applyAlignment="1">
      <alignment/>
    </xf>
    <xf numFmtId="166" fontId="4" fillId="0" borderId="0" xfId="0" applyNumberFormat="1" applyFont="1" applyBorder="1" applyAlignment="1">
      <alignment/>
    </xf>
    <xf numFmtId="166" fontId="5" fillId="0" borderId="0" xfId="0" applyNumberFormat="1" applyFont="1" applyBorder="1" applyAlignment="1">
      <alignment/>
    </xf>
    <xf numFmtId="164" fontId="5" fillId="0" borderId="7" xfId="0" applyNumberFormat="1" applyFont="1" applyFill="1" applyBorder="1" applyAlignment="1">
      <alignment/>
    </xf>
    <xf numFmtId="165" fontId="5" fillId="0" borderId="0" xfId="0" applyNumberFormat="1" applyFont="1" applyBorder="1" applyAlignment="1">
      <alignment/>
    </xf>
    <xf numFmtId="164" fontId="4" fillId="0" borderId="2" xfId="0" applyFont="1" applyBorder="1" applyAlignment="1">
      <alignment/>
    </xf>
    <xf numFmtId="164" fontId="4" fillId="0" borderId="0" xfId="0" applyFont="1" applyBorder="1" applyAlignment="1">
      <alignment/>
    </xf>
    <xf numFmtId="164" fontId="5" fillId="0" borderId="2" xfId="0" applyNumberFormat="1" applyFont="1" applyBorder="1" applyAlignment="1">
      <alignment/>
    </xf>
    <xf numFmtId="164" fontId="5" fillId="0" borderId="5" xfId="0" applyFont="1" applyBorder="1" applyAlignment="1">
      <alignment/>
    </xf>
    <xf numFmtId="164" fontId="5" fillId="0" borderId="6" xfId="0" applyFont="1" applyBorder="1" applyAlignment="1">
      <alignment/>
    </xf>
    <xf numFmtId="164" fontId="1" fillId="0" borderId="7" xfId="0" applyNumberFormat="1" applyFont="1" applyBorder="1" applyAlignment="1">
      <alignment/>
    </xf>
    <xf numFmtId="164" fontId="4" fillId="0" borderId="9" xfId="0" applyNumberFormat="1" applyFont="1" applyBorder="1" applyAlignment="1">
      <alignment/>
    </xf>
    <xf numFmtId="164" fontId="5" fillId="0" borderId="9" xfId="0" applyNumberFormat="1" applyFont="1" applyBorder="1" applyAlignment="1">
      <alignment/>
    </xf>
    <xf numFmtId="164" fontId="14" fillId="0" borderId="2" xfId="0" applyNumberFormat="1" applyFont="1" applyBorder="1" applyAlignment="1">
      <alignment/>
    </xf>
    <xf numFmtId="164" fontId="14" fillId="0" borderId="0" xfId="0" applyNumberFormat="1" applyFont="1" applyBorder="1" applyAlignment="1">
      <alignment/>
    </xf>
    <xf numFmtId="164" fontId="1" fillId="0" borderId="1" xfId="0" applyFont="1" applyBorder="1" applyAlignment="1">
      <alignment/>
    </xf>
    <xf numFmtId="164" fontId="1" fillId="0" borderId="8" xfId="0" applyFont="1" applyBorder="1" applyAlignment="1">
      <alignment/>
    </xf>
    <xf numFmtId="164" fontId="1" fillId="0" borderId="10" xfId="0" applyNumberFormat="1" applyFont="1" applyBorder="1" applyAlignment="1">
      <alignment/>
    </xf>
    <xf numFmtId="164" fontId="15" fillId="0" borderId="2" xfId="0" applyFont="1" applyBorder="1" applyAlignment="1">
      <alignment/>
    </xf>
    <xf numFmtId="164" fontId="15" fillId="0" borderId="0" xfId="0" applyFont="1" applyAlignment="1">
      <alignment/>
    </xf>
    <xf numFmtId="164" fontId="5" fillId="0" borderId="11" xfId="0" applyNumberFormat="1" applyFont="1" applyBorder="1" applyAlignment="1">
      <alignment/>
    </xf>
    <xf numFmtId="164" fontId="5" fillId="0" borderId="12" xfId="0" applyNumberFormat="1" applyFont="1" applyBorder="1" applyAlignment="1">
      <alignment/>
    </xf>
    <xf numFmtId="164" fontId="1" fillId="0" borderId="13" xfId="0" applyNumberFormat="1" applyFont="1" applyBorder="1" applyAlignment="1">
      <alignment/>
    </xf>
    <xf numFmtId="164" fontId="1" fillId="0" borderId="14" xfId="0" applyNumberFormat="1" applyFont="1" applyBorder="1" applyAlignment="1">
      <alignment/>
    </xf>
    <xf numFmtId="164" fontId="12" fillId="0" borderId="5" xfId="0" applyFont="1" applyBorder="1" applyAlignment="1">
      <alignment/>
    </xf>
    <xf numFmtId="164" fontId="12" fillId="0" borderId="6" xfId="0" applyFont="1" applyBorder="1" applyAlignment="1">
      <alignment/>
    </xf>
    <xf numFmtId="164" fontId="1" fillId="0" borderId="15" xfId="0" applyNumberFormat="1" applyFont="1" applyBorder="1" applyAlignment="1">
      <alignment horizontal="center"/>
    </xf>
    <xf numFmtId="164" fontId="1" fillId="0" borderId="16" xfId="0" applyNumberFormat="1" applyFont="1" applyBorder="1" applyAlignment="1">
      <alignment/>
    </xf>
    <xf numFmtId="164" fontId="4" fillId="0" borderId="16" xfId="0" applyNumberFormat="1" applyFont="1" applyBorder="1" applyAlignment="1">
      <alignment/>
    </xf>
    <xf numFmtId="164" fontId="5" fillId="0" borderId="16" xfId="0" applyNumberFormat="1" applyFont="1" applyBorder="1" applyAlignment="1">
      <alignment/>
    </xf>
    <xf numFmtId="164" fontId="1" fillId="0" borderId="17" xfId="0" applyNumberFormat="1" applyFont="1" applyBorder="1" applyAlignment="1">
      <alignment/>
    </xf>
    <xf numFmtId="164" fontId="4" fillId="0" borderId="0" xfId="0" applyNumberFormat="1" applyFont="1" applyBorder="1" applyAlignment="1">
      <alignment horizontal="right"/>
    </xf>
    <xf numFmtId="164" fontId="5" fillId="0" borderId="0" xfId="0" applyNumberFormat="1" applyFont="1" applyBorder="1" applyAlignment="1">
      <alignment horizontal="right"/>
    </xf>
    <xf numFmtId="164" fontId="1" fillId="0" borderId="1" xfId="0" applyNumberFormat="1" applyFont="1" applyBorder="1" applyAlignment="1">
      <alignment horizontal="center" wrapText="1"/>
    </xf>
    <xf numFmtId="164" fontId="5" fillId="0" borderId="5" xfId="0" applyNumberFormat="1" applyFont="1" applyBorder="1" applyAlignment="1">
      <alignment/>
    </xf>
    <xf numFmtId="164" fontId="5" fillId="0" borderId="6" xfId="0" applyNumberFormat="1" applyFont="1" applyBorder="1" applyAlignment="1">
      <alignment/>
    </xf>
    <xf numFmtId="164" fontId="1" fillId="0" borderId="7" xfId="0" applyNumberFormat="1" applyFont="1" applyBorder="1" applyAlignment="1">
      <alignment/>
    </xf>
    <xf numFmtId="164" fontId="0" fillId="0" borderId="1" xfId="0" applyFont="1" applyBorder="1" applyAlignment="1">
      <alignment/>
    </xf>
    <xf numFmtId="164" fontId="0" fillId="0" borderId="8" xfId="0" applyBorder="1" applyAlignment="1">
      <alignment/>
    </xf>
    <xf numFmtId="164" fontId="0" fillId="0" borderId="10" xfId="0" applyNumberFormat="1" applyFont="1" applyBorder="1" applyAlignment="1">
      <alignment/>
    </xf>
    <xf numFmtId="164" fontId="16" fillId="0" borderId="2" xfId="0" applyFont="1" applyBorder="1" applyAlignment="1">
      <alignment/>
    </xf>
    <xf numFmtId="164" fontId="16" fillId="0" borderId="0" xfId="0" applyFont="1" applyAlignment="1">
      <alignment/>
    </xf>
    <xf numFmtId="164" fontId="16" fillId="0" borderId="4" xfId="0" applyNumberFormat="1" applyFont="1" applyBorder="1" applyAlignment="1">
      <alignment/>
    </xf>
    <xf numFmtId="164" fontId="17" fillId="0" borderId="2" xfId="0" applyFont="1" applyBorder="1" applyAlignment="1">
      <alignment/>
    </xf>
    <xf numFmtId="164" fontId="18" fillId="0" borderId="0" xfId="0" applyFont="1" applyAlignment="1">
      <alignment wrapText="1"/>
    </xf>
    <xf numFmtId="164" fontId="17" fillId="0" borderId="0" xfId="0" applyFont="1" applyAlignment="1">
      <alignment/>
    </xf>
    <xf numFmtId="164" fontId="17" fillId="0" borderId="4" xfId="0" applyNumberFormat="1" applyFont="1" applyBorder="1" applyAlignment="1">
      <alignment/>
    </xf>
    <xf numFmtId="164" fontId="17" fillId="0" borderId="5" xfId="0" applyFont="1" applyBorder="1" applyAlignment="1">
      <alignment/>
    </xf>
    <xf numFmtId="164" fontId="18" fillId="0" borderId="6" xfId="0" applyFont="1" applyBorder="1" applyAlignment="1">
      <alignment/>
    </xf>
    <xf numFmtId="164" fontId="17" fillId="0" borderId="6" xfId="0" applyFont="1" applyBorder="1" applyAlignment="1">
      <alignment/>
    </xf>
    <xf numFmtId="164" fontId="17" fillId="0" borderId="7" xfId="0" applyNumberFormat="1" applyFont="1" applyBorder="1" applyAlignment="1">
      <alignment/>
    </xf>
    <xf numFmtId="164" fontId="2" fillId="0" borderId="1" xfId="0" applyNumberFormat="1" applyFont="1" applyFill="1" applyBorder="1" applyAlignment="1">
      <alignment horizontal="fill" vertical="top" wrapText="1"/>
    </xf>
    <xf numFmtId="164" fontId="0" fillId="0" borderId="2" xfId="0" applyNumberFormat="1" applyFont="1" applyBorder="1" applyAlignment="1">
      <alignment/>
    </xf>
    <xf numFmtId="164" fontId="2" fillId="0" borderId="2" xfId="0" applyNumberFormat="1" applyFont="1" applyFill="1" applyBorder="1" applyAlignment="1">
      <alignment horizontal="left"/>
    </xf>
    <xf numFmtId="164" fontId="2" fillId="0" borderId="0" xfId="0" applyNumberFormat="1" applyFont="1" applyFill="1" applyBorder="1" applyAlignment="1">
      <alignment horizontal="left"/>
    </xf>
    <xf numFmtId="164" fontId="2" fillId="0" borderId="8" xfId="0" applyNumberFormat="1" applyFont="1" applyBorder="1" applyAlignment="1">
      <alignment horizontal="left"/>
    </xf>
    <xf numFmtId="164" fontId="2" fillId="0" borderId="1" xfId="0" applyNumberFormat="1" applyFont="1" applyBorder="1" applyAlignment="1">
      <alignment horizontal="left"/>
    </xf>
    <xf numFmtId="164" fontId="2" fillId="0" borderId="2" xfId="0" applyNumberFormat="1" applyFont="1" applyBorder="1" applyAlignment="1">
      <alignment horizontal="left"/>
    </xf>
    <xf numFmtId="164" fontId="2" fillId="0" borderId="1" xfId="0" applyNumberFormat="1" applyFont="1" applyBorder="1" applyAlignment="1">
      <alignment horizontal="fill" vertical="center"/>
    </xf>
    <xf numFmtId="164" fontId="24" fillId="0" borderId="2" xfId="0" applyNumberFormat="1" applyFont="1" applyBorder="1" applyAlignment="1">
      <alignment/>
    </xf>
    <xf numFmtId="164" fontId="24" fillId="0" borderId="0" xfId="0" applyNumberFormat="1" applyFont="1" applyBorder="1" applyAlignment="1">
      <alignment/>
    </xf>
    <xf numFmtId="164" fontId="24" fillId="0" borderId="0" xfId="0" applyNumberFormat="1" applyFont="1" applyBorder="1" applyAlignment="1">
      <alignment horizontal="left"/>
    </xf>
    <xf numFmtId="164" fontId="2" fillId="0" borderId="0" xfId="0" applyNumberFormat="1" applyFont="1" applyBorder="1" applyAlignment="1">
      <alignment horizontal="left"/>
    </xf>
    <xf numFmtId="164" fontId="24" fillId="0" borderId="2" xfId="0" applyNumberFormat="1" applyFont="1" applyBorder="1" applyAlignment="1">
      <alignment horizontal="left"/>
    </xf>
    <xf numFmtId="164" fontId="25" fillId="0" borderId="2" xfId="0" applyNumberFormat="1" applyFont="1" applyBorder="1" applyAlignment="1">
      <alignment/>
    </xf>
    <xf numFmtId="164" fontId="25" fillId="0" borderId="0" xfId="0" applyNumberFormat="1" applyFont="1" applyBorder="1" applyAlignment="1">
      <alignment/>
    </xf>
    <xf numFmtId="164" fontId="25" fillId="0" borderId="0" xfId="0" applyNumberFormat="1" applyFont="1" applyBorder="1" applyAlignment="1">
      <alignment horizontal="left"/>
    </xf>
    <xf numFmtId="164" fontId="25" fillId="0" borderId="2" xfId="0" applyNumberFormat="1" applyFont="1" applyBorder="1" applyAlignment="1">
      <alignment horizontal="left"/>
    </xf>
    <xf numFmtId="164" fontId="0" fillId="0" borderId="8" xfId="0" applyNumberFormat="1" applyFont="1" applyBorder="1" applyAlignment="1">
      <alignment/>
    </xf>
    <xf numFmtId="164" fontId="2" fillId="0" borderId="1" xfId="0" applyNumberFormat="1" applyFont="1" applyBorder="1" applyAlignment="1">
      <alignment/>
    </xf>
    <xf numFmtId="164" fontId="2" fillId="0" borderId="8" xfId="0" applyNumberFormat="1" applyFont="1" applyBorder="1" applyAlignment="1">
      <alignment/>
    </xf>
    <xf numFmtId="164" fontId="8" fillId="0" borderId="2" xfId="0" applyNumberFormat="1" applyFont="1" applyBorder="1" applyAlignment="1">
      <alignment/>
    </xf>
    <xf numFmtId="164" fontId="2" fillId="0" borderId="2" xfId="0" applyNumberFormat="1" applyFont="1" applyBorder="1" applyAlignment="1">
      <alignment/>
    </xf>
    <xf numFmtId="164" fontId="8" fillId="0" borderId="2" xfId="0" applyNumberFormat="1" applyFont="1" applyBorder="1" applyAlignment="1">
      <alignment horizontal="left"/>
    </xf>
    <xf numFmtId="164" fontId="9" fillId="0" borderId="2" xfId="0" applyNumberFormat="1" applyFont="1" applyBorder="1" applyAlignment="1">
      <alignment horizontal="left"/>
    </xf>
    <xf numFmtId="164" fontId="26" fillId="0" borderId="2" xfId="0" applyNumberFormat="1" applyFont="1" applyBorder="1" applyAlignment="1">
      <alignment/>
    </xf>
    <xf numFmtId="164" fontId="26" fillId="0" borderId="0" xfId="0" applyNumberFormat="1" applyFont="1" applyBorder="1" applyAlignment="1">
      <alignment/>
    </xf>
    <xf numFmtId="164" fontId="2" fillId="0" borderId="6" xfId="0" applyNumberFormat="1" applyFont="1" applyFill="1" applyBorder="1" applyAlignment="1">
      <alignment horizontal="center" vertical="center"/>
    </xf>
    <xf numFmtId="164" fontId="27" fillId="0" borderId="0" xfId="0" applyNumberFormat="1" applyFont="1" applyBorder="1" applyAlignment="1">
      <alignment/>
    </xf>
    <xf numFmtId="164" fontId="2" fillId="0" borderId="0" xfId="0" applyNumberFormat="1" applyFont="1" applyAlignment="1">
      <alignment/>
    </xf>
    <xf numFmtId="164" fontId="0" fillId="0" borderId="0" xfId="0" applyNumberFormat="1" applyFont="1" applyAlignment="1">
      <alignment/>
    </xf>
    <xf numFmtId="164" fontId="28" fillId="0" borderId="0" xfId="20" applyNumberFormat="1" applyFont="1" applyFill="1" applyBorder="1" applyAlignment="1" applyProtection="1">
      <alignment/>
      <protection/>
    </xf>
    <xf numFmtId="164" fontId="29" fillId="0" borderId="0" xfId="0" applyNumberFormat="1" applyFont="1" applyAlignment="1">
      <alignment/>
    </xf>
    <xf numFmtId="164" fontId="30" fillId="0" borderId="0" xfId="0" applyNumberFormat="1" applyFont="1" applyAlignment="1">
      <alignment/>
    </xf>
    <xf numFmtId="164" fontId="31" fillId="0" borderId="0" xfId="0" applyNumberFormat="1" applyFont="1" applyAlignment="1">
      <alignment/>
    </xf>
    <xf numFmtId="164" fontId="32" fillId="0" borderId="0" xfId="0" applyNumberFormat="1" applyFont="1" applyAlignment="1">
      <alignment/>
    </xf>
    <xf numFmtId="164" fontId="32" fillId="0" borderId="0" xfId="0" applyFont="1" applyAlignment="1">
      <alignment/>
    </xf>
    <xf numFmtId="164" fontId="31" fillId="0" borderId="0" xfId="0" applyFont="1" applyAlignment="1">
      <alignment/>
    </xf>
    <xf numFmtId="164" fontId="2" fillId="0" borderId="0" xfId="0" applyFont="1" applyAlignment="1">
      <alignment/>
    </xf>
    <xf numFmtId="164" fontId="33" fillId="0" borderId="0" xfId="0" applyFont="1" applyAlignment="1">
      <alignment/>
    </xf>
    <xf numFmtId="164" fontId="2" fillId="5" borderId="0" xfId="0" applyFont="1" applyFill="1" applyBorder="1" applyAlignment="1">
      <alignment horizontal="center"/>
    </xf>
    <xf numFmtId="164" fontId="34" fillId="0" borderId="0" xfId="21" applyFont="1">
      <alignment/>
      <protection/>
    </xf>
    <xf numFmtId="164" fontId="35" fillId="4" borderId="18" xfId="21" applyFont="1" applyFill="1" applyBorder="1" applyAlignment="1" applyProtection="1">
      <alignment horizontal="center"/>
      <protection locked="0"/>
    </xf>
    <xf numFmtId="164" fontId="36" fillId="2" borderId="19" xfId="21" applyFont="1" applyFill="1" applyBorder="1">
      <alignment/>
      <protection/>
    </xf>
    <xf numFmtId="164" fontId="36" fillId="2" borderId="19" xfId="21" applyFont="1" applyFill="1" applyBorder="1" applyAlignment="1" applyProtection="1">
      <alignment horizontal="center"/>
      <protection locked="0"/>
    </xf>
    <xf numFmtId="164" fontId="2" fillId="4" borderId="20" xfId="0" applyFont="1" applyFill="1" applyBorder="1" applyAlignment="1">
      <alignment horizontal="center"/>
    </xf>
    <xf numFmtId="164" fontId="37" fillId="0" borderId="0" xfId="21" applyFont="1">
      <alignment/>
      <protection/>
    </xf>
    <xf numFmtId="164" fontId="38" fillId="2" borderId="21" xfId="21" applyFont="1" applyFill="1" applyBorder="1" applyAlignment="1">
      <alignment horizontal="center" vertical="center"/>
      <protection/>
    </xf>
    <xf numFmtId="164" fontId="38" fillId="6" borderId="0" xfId="21" applyFont="1" applyFill="1" applyBorder="1" applyAlignment="1">
      <alignment horizontal="center" vertical="center"/>
      <protection/>
    </xf>
    <xf numFmtId="164" fontId="38" fillId="6" borderId="0" xfId="21" applyFont="1" applyFill="1" applyBorder="1" applyAlignment="1">
      <alignment horizontal="center"/>
      <protection/>
    </xf>
    <xf numFmtId="164" fontId="38" fillId="6" borderId="22" xfId="21" applyFont="1" applyFill="1" applyBorder="1" applyAlignment="1">
      <alignment horizontal="center"/>
      <protection/>
    </xf>
    <xf numFmtId="164" fontId="1" fillId="0" borderId="0" xfId="21" applyFont="1">
      <alignment/>
      <protection/>
    </xf>
    <xf numFmtId="164" fontId="38" fillId="6" borderId="23" xfId="21" applyFont="1" applyFill="1" applyBorder="1" applyAlignment="1">
      <alignment horizontal="center"/>
      <protection/>
    </xf>
    <xf numFmtId="164" fontId="38" fillId="6" borderId="24" xfId="21" applyFont="1" applyFill="1" applyBorder="1" applyAlignment="1">
      <alignment horizontal="center"/>
      <protection/>
    </xf>
    <xf numFmtId="164" fontId="39" fillId="0" borderId="0" xfId="21" applyFont="1" applyFill="1">
      <alignment/>
      <protection/>
    </xf>
    <xf numFmtId="164" fontId="25" fillId="0" borderId="8" xfId="0" applyNumberFormat="1" applyFont="1" applyBorder="1" applyAlignment="1">
      <alignment/>
    </xf>
    <xf numFmtId="164" fontId="2" fillId="0" borderId="10" xfId="0" applyNumberFormat="1" applyFont="1" applyBorder="1" applyAlignment="1">
      <alignment/>
    </xf>
    <xf numFmtId="164" fontId="0" fillId="0" borderId="0" xfId="0" applyNumberFormat="1" applyFont="1" applyBorder="1" applyAlignment="1">
      <alignment/>
    </xf>
    <xf numFmtId="164" fontId="2" fillId="0" borderId="4" xfId="0" applyNumberFormat="1" applyFont="1" applyBorder="1" applyAlignment="1">
      <alignment/>
    </xf>
    <xf numFmtId="164" fontId="2" fillId="0" borderId="5" xfId="0" applyNumberFormat="1" applyFont="1" applyBorder="1" applyAlignment="1">
      <alignment/>
    </xf>
    <xf numFmtId="164" fontId="2" fillId="0" borderId="6" xfId="0" applyNumberFormat="1" applyFont="1" applyBorder="1" applyAlignment="1">
      <alignment/>
    </xf>
    <xf numFmtId="164" fontId="2" fillId="0" borderId="7" xfId="0" applyNumberFormat="1" applyFont="1" applyBorder="1" applyAlignment="1">
      <alignment/>
    </xf>
    <xf numFmtId="164" fontId="2" fillId="0" borderId="4" xfId="0" applyNumberFormat="1" applyFont="1" applyBorder="1" applyAlignment="1">
      <alignment horizontal="left"/>
    </xf>
    <xf numFmtId="164" fontId="2" fillId="0" borderId="5" xfId="0" applyNumberFormat="1" applyFont="1" applyBorder="1" applyAlignment="1">
      <alignment horizontal="left"/>
    </xf>
    <xf numFmtId="164" fontId="2" fillId="0" borderId="6" xfId="0" applyNumberFormat="1" applyFont="1" applyBorder="1" applyAlignment="1">
      <alignment horizontal="left"/>
    </xf>
    <xf numFmtId="164" fontId="2" fillId="0" borderId="7" xfId="0" applyNumberFormat="1" applyFont="1" applyBorder="1" applyAlignment="1">
      <alignment horizontal="left"/>
    </xf>
    <xf numFmtId="164" fontId="2" fillId="0" borderId="3" xfId="0" applyNumberFormat="1" applyFont="1" applyBorder="1" applyAlignment="1">
      <alignment horizontal="center"/>
    </xf>
    <xf numFmtId="164" fontId="40" fillId="0" borderId="4" xfId="0" applyNumberFormat="1" applyFont="1" applyBorder="1" applyAlignment="1">
      <alignment/>
    </xf>
    <xf numFmtId="164" fontId="40" fillId="0" borderId="4" xfId="0" applyNumberFormat="1" applyFont="1" applyBorder="1" applyAlignment="1">
      <alignment horizontal="left"/>
    </xf>
    <xf numFmtId="164" fontId="24" fillId="0" borderId="5" xfId="0" applyNumberFormat="1" applyFont="1" applyBorder="1" applyAlignment="1">
      <alignment horizontal="left"/>
    </xf>
    <xf numFmtId="164" fontId="40" fillId="0" borderId="7" xfId="0" applyNumberFormat="1" applyFont="1" applyFill="1" applyBorder="1" applyAlignment="1">
      <alignment horizontal="left"/>
    </xf>
    <xf numFmtId="164" fontId="0" fillId="0" borderId="0" xfId="0" applyNumberFormat="1" applyFont="1" applyBorder="1" applyAlignment="1">
      <alignment horizontal="left"/>
    </xf>
    <xf numFmtId="164" fontId="2" fillId="0" borderId="25" xfId="0" applyNumberFormat="1" applyFont="1" applyBorder="1" applyAlignment="1">
      <alignment horizontal="center"/>
    </xf>
    <xf numFmtId="164" fontId="8" fillId="0" borderId="0" xfId="0" applyNumberFormat="1" applyFont="1" applyBorder="1" applyAlignment="1">
      <alignment horizontal="right"/>
    </xf>
    <xf numFmtId="164" fontId="0" fillId="0" borderId="4" xfId="0" applyNumberFormat="1" applyFont="1" applyBorder="1" applyAlignment="1">
      <alignment/>
    </xf>
    <xf numFmtId="164" fontId="0" fillId="0" borderId="2" xfId="0" applyNumberFormat="1" applyFont="1" applyBorder="1" applyAlignment="1">
      <alignment/>
    </xf>
    <xf numFmtId="164" fontId="0" fillId="0" borderId="4" xfId="0" applyNumberFormat="1" applyFont="1" applyBorder="1" applyAlignment="1">
      <alignment/>
    </xf>
    <xf numFmtId="164" fontId="0" fillId="0" borderId="5" xfId="0" applyNumberFormat="1" applyFont="1" applyBorder="1" applyAlignment="1">
      <alignment/>
    </xf>
    <xf numFmtId="164" fontId="0" fillId="0" borderId="6" xfId="0" applyNumberFormat="1" applyFont="1" applyBorder="1" applyAlignment="1">
      <alignment/>
    </xf>
    <xf numFmtId="164" fontId="0" fillId="0" borderId="7" xfId="0" applyNumberFormat="1" applyFont="1" applyBorder="1" applyAlignment="1">
      <alignment/>
    </xf>
    <xf numFmtId="164" fontId="0" fillId="4" borderId="2" xfId="0" applyNumberFormat="1" applyFont="1" applyFill="1" applyBorder="1" applyAlignment="1">
      <alignment/>
    </xf>
    <xf numFmtId="164" fontId="0" fillId="4" borderId="0" xfId="0" applyNumberFormat="1" applyFont="1" applyFill="1" applyBorder="1" applyAlignment="1">
      <alignment/>
    </xf>
    <xf numFmtId="164" fontId="9" fillId="0" borderId="5" xfId="0" applyNumberFormat="1" applyFont="1" applyBorder="1" applyAlignment="1">
      <alignment/>
    </xf>
    <xf numFmtId="164" fontId="9" fillId="0" borderId="6" xfId="0" applyNumberFormat="1" applyFont="1" applyBorder="1" applyAlignment="1">
      <alignment/>
    </xf>
    <xf numFmtId="164" fontId="9" fillId="0" borderId="7" xfId="0" applyNumberFormat="1" applyFont="1" applyBorder="1" applyAlignment="1">
      <alignment/>
    </xf>
    <xf numFmtId="164" fontId="30" fillId="0" borderId="3" xfId="0" applyNumberFormat="1" applyFont="1" applyBorder="1" applyAlignment="1">
      <alignment horizontal="center"/>
    </xf>
    <xf numFmtId="164" fontId="45" fillId="0" borderId="2" xfId="0" applyNumberFormat="1" applyFont="1" applyBorder="1" applyAlignment="1">
      <alignment/>
    </xf>
    <xf numFmtId="164" fontId="45" fillId="0" borderId="0" xfId="0" applyNumberFormat="1" applyFont="1" applyBorder="1" applyAlignment="1">
      <alignment/>
    </xf>
    <xf numFmtId="164" fontId="45" fillId="0" borderId="4" xfId="0" applyNumberFormat="1" applyFont="1" applyBorder="1" applyAlignment="1">
      <alignment/>
    </xf>
    <xf numFmtId="164" fontId="46" fillId="0" borderId="5" xfId="0" applyNumberFormat="1" applyFont="1" applyBorder="1" applyAlignment="1">
      <alignment/>
    </xf>
    <xf numFmtId="164" fontId="46" fillId="0" borderId="6" xfId="0" applyNumberFormat="1" applyFont="1" applyBorder="1" applyAlignment="1">
      <alignment/>
    </xf>
    <xf numFmtId="164" fontId="30" fillId="0" borderId="6" xfId="0" applyNumberFormat="1" applyFont="1" applyBorder="1" applyAlignment="1">
      <alignment/>
    </xf>
    <xf numFmtId="164" fontId="30" fillId="0" borderId="7" xfId="0" applyNumberFormat="1" applyFont="1" applyBorder="1" applyAlignment="1">
      <alignment/>
    </xf>
    <xf numFmtId="164" fontId="30" fillId="0" borderId="0" xfId="0" applyNumberFormat="1" applyFont="1" applyBorder="1" applyAlignment="1">
      <alignment/>
    </xf>
    <xf numFmtId="164" fontId="46" fillId="0" borderId="5" xfId="0" applyNumberFormat="1" applyFont="1" applyFill="1" applyBorder="1" applyAlignment="1">
      <alignment/>
    </xf>
    <xf numFmtId="164" fontId="46" fillId="0" borderId="7" xfId="0" applyNumberFormat="1" applyFont="1" applyBorder="1" applyAlignment="1">
      <alignment/>
    </xf>
  </cellXfs>
  <cellStyles count="8">
    <cellStyle name="Normal" xfId="0"/>
    <cellStyle name="Comma" xfId="15"/>
    <cellStyle name="Comma [0]" xfId="16"/>
    <cellStyle name="Currency" xfId="17"/>
    <cellStyle name="Currency [0]" xfId="18"/>
    <cellStyle name="Percent" xfId="19"/>
    <cellStyle name="Hyperlink" xfId="20"/>
    <cellStyle name="Normal_atv repeaters"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66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66"/>
      <rgbColor rgb="00969696"/>
      <rgbColor rgb="0000508F"/>
      <rgbColor rgb="00339966"/>
      <rgbColor rgb="00003300"/>
      <rgbColor rgb="00333300"/>
      <rgbColor rgb="00ED1C24"/>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FM BANDWIDTH (2 X DEV)+(2 X MOD FREQ)</a:t>
            </a:r>
          </a:p>
        </c:rich>
      </c:tx>
      <c:layout/>
      <c:spPr>
        <a:noFill/>
        <a:ln>
          <a:noFill/>
        </a:ln>
      </c:spPr>
    </c:title>
    <c:view3D>
      <c:rotX val="23"/>
      <c:rotY val="6"/>
      <c:depthPercent val="100"/>
      <c:rAngAx val="1"/>
    </c:view3D>
    <c:plotArea>
      <c:layout/>
      <c:bar3DChart>
        <c:barDir val="col"/>
        <c:grouping val="clustered"/>
        <c:varyColors val="0"/>
        <c:ser>
          <c:idx val="0"/>
          <c:order val="0"/>
          <c:spPr>
            <a:solidFill>
              <a:srgbClr val="FF0000"/>
            </a:solidFill>
            <a:ln w="3175">
              <a:solidFill/>
            </a:ln>
          </c:spPr>
          <c:invertIfNegative val="0"/>
          <c:extLst>
            <c:ext xmlns:c14="http://schemas.microsoft.com/office/drawing/2007/8/2/chart" uri="{6F2FDCE9-48DA-4B69-8628-5D25D57E5C99}">
              <c14:invertSolidFillFmt>
                <c14:spPr>
                  <a:solidFill>
                    <a:srgbClr val="303030"/>
                  </a:solidFill>
                </c14:spPr>
              </c14:invertSolidFillFmt>
            </c:ext>
          </c:extLst>
          <c:dPt>
            <c:idx val="0"/>
            <c:invertIfNegative val="0"/>
            <c:spPr>
              <a:solidFill>
                <a:srgbClr val="FF0000"/>
              </a:solidFill>
              <a:ln w="3175">
                <a:solidFill/>
              </a:ln>
            </c:spPr>
          </c:dPt>
          <c:dPt>
            <c:idx val="1"/>
            <c:invertIfNegative val="0"/>
            <c:spPr>
              <a:solidFill>
                <a:srgbClr val="FF0000"/>
              </a:solidFill>
              <a:ln w="3175">
                <a:solidFill/>
              </a:ln>
            </c:spPr>
          </c:dPt>
          <c:dPt>
            <c:idx val="2"/>
            <c:invertIfNegative val="0"/>
            <c:spPr>
              <a:solidFill>
                <a:srgbClr val="FF0000"/>
              </a:solidFill>
              <a:ln w="3175">
                <a:solidFill/>
              </a:ln>
            </c:spPr>
          </c:dPt>
          <c:dLbls>
            <c:numFmt formatCode="General" sourceLinked="1"/>
            <c:spPr>
              <a:noFill/>
              <a:ln>
                <a:noFill/>
              </a:ln>
            </c:spPr>
            <c:txPr>
              <a:bodyPr vert="horz" rot="0" anchor="ctr"/>
              <a:lstStyle/>
              <a:p>
                <a:pPr algn="ctr">
                  <a:defRPr lang="en-US" cap="none" sz="925" b="0" i="0" u="none" baseline="0">
                    <a:solidFill>
                      <a:srgbClr val="000000"/>
                    </a:solidFill>
                    <a:latin typeface="Arial"/>
                    <a:ea typeface="Arial"/>
                    <a:cs typeface="Arial"/>
                  </a:defRPr>
                </a:pPr>
              </a:p>
            </c:txPr>
            <c:showLegendKey val="1"/>
            <c:showVal val="1"/>
            <c:showBubbleSize val="0"/>
            <c:showCatName val="0"/>
            <c:showSerName val="0"/>
            <c:showPercent val="0"/>
            <c:separator>
</c:separator>
          </c:dLbls>
          <c:val>
            <c:numRef>
              <c:f>'RF STUFF'!$I$79:$I$81</c:f>
              <c:numCache/>
            </c:numRef>
          </c:val>
          <c:shape val="cone"/>
        </c:ser>
        <c:shape val="box"/>
        <c:axId val="52919173"/>
        <c:axId val="6510510"/>
      </c:bar3DChart>
      <c:dateAx>
        <c:axId val="52919173"/>
        <c:scaling>
          <c:orientation val="minMax"/>
        </c:scaling>
        <c:axPos val="b"/>
        <c:delete val="0"/>
        <c:numFmt formatCode="General" sourceLinked="1"/>
        <c:majorTickMark val="none"/>
        <c:minorTickMark val="none"/>
        <c:tickLblPos val="none"/>
        <c:txPr>
          <a:bodyPr vert="horz" rot="0"/>
          <a:lstStyle/>
          <a:p>
            <a:pPr>
              <a:defRPr lang="en-US" cap="none" sz="1000" b="0" i="0" u="none" baseline="0">
                <a:latin typeface="Arial"/>
                <a:ea typeface="Arial"/>
                <a:cs typeface="Arial"/>
              </a:defRPr>
            </a:pPr>
          </a:p>
        </c:txPr>
        <c:crossAx val="6510510"/>
        <c:crossesAt val="0"/>
        <c:auto val="0"/>
        <c:noMultiLvlLbl val="0"/>
      </c:dateAx>
      <c:valAx>
        <c:axId val="6510510"/>
        <c:scaling>
          <c:orientation val="minMax"/>
        </c:scaling>
        <c:axPos val="l"/>
        <c:title>
          <c:tx>
            <c:rich>
              <a:bodyPr vert="horz" rot="0" anchor="ctr"/>
              <a:lstStyle/>
              <a:p>
                <a:pPr algn="ctr">
                  <a:defRPr/>
                </a:pPr>
                <a:r>
                  <a:rPr lang="en-US" cap="none" sz="925" b="1" i="0" u="none" baseline="0">
                    <a:solidFill>
                      <a:srgbClr val="000000"/>
                    </a:solidFill>
                    <a:latin typeface="Arial"/>
                    <a:ea typeface="Arial"/>
                    <a:cs typeface="Arial"/>
                  </a:rPr>
                  <a:t>Khz</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25" b="0" i="0" u="none" baseline="0">
                <a:solidFill>
                  <a:srgbClr val="000000"/>
                </a:solidFill>
                <a:latin typeface="Arial"/>
                <a:ea typeface="Arial"/>
                <a:cs typeface="Arial"/>
              </a:defRPr>
            </a:pPr>
          </a:p>
        </c:txPr>
        <c:crossAx val="52919173"/>
        <c:crossesAt val="1"/>
        <c:crossBetween val="between"/>
        <c:dispUnits/>
      </c:valAx>
      <c:spPr>
        <a:noFill/>
        <a:ln>
          <a:noFill/>
        </a:ln>
      </c:spPr>
    </c:plotArea>
    <c:floor>
      <c:spPr>
        <a:solidFill>
          <a:srgbClr val="FFFF00"/>
        </a:solidFill>
      </c:spPr>
      <c:thickness val="0"/>
    </c:floor>
    <c:sideWall>
      <c:spPr>
        <a:solidFill>
          <a:srgbClr val="00FF00"/>
        </a:solidFill>
        <a:ln w="12700">
          <a:solidFill>
            <a:srgbClr val="808080"/>
          </a:solidFill>
        </a:ln>
      </c:spPr>
      <c:thickness val="0"/>
    </c:sideWall>
    <c:backWall>
      <c:spPr>
        <a:solidFill>
          <a:srgbClr val="00FF00"/>
        </a:solidFill>
        <a:ln w="12700">
          <a:solidFill>
            <a:srgbClr val="808080"/>
          </a:solidFill>
        </a:ln>
      </c:spPr>
      <c:thickness val="0"/>
    </c:backWall>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F-LAYER ANGLE VS HOP</a:t>
            </a:r>
          </a:p>
        </c:rich>
      </c:tx>
      <c:layout/>
      <c:spPr>
        <a:noFill/>
        <a:ln>
          <a:noFill/>
        </a:ln>
      </c:spPr>
    </c:title>
    <c:plotArea>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INFO!$F$49:$F$62</c:f>
              <c:numCache/>
            </c:numRef>
          </c:xVal>
          <c:yVal>
            <c:numRef>
              <c:f>INFO!$G$49:$G$62</c:f>
              <c:numCache/>
            </c:numRef>
          </c:yVal>
          <c:smooth val="1"/>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INFO!$F$49:$F$62</c:f>
              <c:numCache/>
            </c:numRef>
          </c:xVal>
          <c:yVal>
            <c:numRef>
              <c:f>INFO!$H$49:$H$62</c:f>
              <c:numCache/>
            </c:numRef>
          </c:yVal>
          <c:smooth val="1"/>
        </c:ser>
        <c:axId val="58594591"/>
        <c:axId val="57589272"/>
      </c:scatterChart>
      <c:valAx>
        <c:axId val="5859459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Angle degrees</a:t>
                </a:r>
              </a:p>
            </c:rich>
          </c:tx>
          <c:layout/>
          <c:overlay val="0"/>
          <c:spPr>
            <a:noFill/>
            <a:ln>
              <a:noFill/>
            </a:ln>
          </c:spPr>
        </c:title>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7589272"/>
        <c:crossesAt val="0"/>
        <c:crossBetween val="midCat"/>
        <c:dispUnits/>
      </c:valAx>
      <c:valAx>
        <c:axId val="5758927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Hop length</a:t>
                </a:r>
              </a:p>
            </c:rich>
          </c:tx>
          <c:layout/>
          <c:overlay val="0"/>
          <c:spPr>
            <a:noFill/>
            <a:ln>
              <a:noFill/>
            </a:ln>
          </c:spPr>
        </c:title>
        <c:majorGridlines/>
        <c:delete val="0"/>
        <c:numFmt formatCode="General" sourceLinked="1"/>
        <c:majorTickMark val="out"/>
        <c:minorTickMark val="none"/>
        <c:tickLblPos val="nextTo"/>
        <c:spPr>
          <a:ln w="12700">
            <a:solidFill>
              <a:srgbClr val="FF0000"/>
            </a:solidFill>
          </a:ln>
        </c:spPr>
        <c:txPr>
          <a:bodyPr vert="horz" rot="0"/>
          <a:lstStyle/>
          <a:p>
            <a:pPr>
              <a:defRPr lang="en-US" cap="none" sz="800" b="0" i="0" u="none" baseline="0">
                <a:solidFill>
                  <a:srgbClr val="000000"/>
                </a:solidFill>
                <a:latin typeface="Arial"/>
                <a:ea typeface="Arial"/>
                <a:cs typeface="Arial"/>
              </a:defRPr>
            </a:pPr>
          </a:p>
        </c:txPr>
        <c:crossAx val="58594591"/>
        <c:crossesAt val="0"/>
        <c:crossBetween val="midCat"/>
        <c:dispUnits/>
      </c:valAx>
      <c:spPr>
        <a:solidFill>
          <a:srgbClr val="C0C0C0"/>
        </a:solidFill>
        <a:ln w="12700">
          <a:solidFill>
            <a:srgbClr val="808080"/>
          </a:solid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E Layer: angle of radiation vs hop length</a:t>
            </a:r>
          </a:p>
        </c:rich>
      </c:tx>
      <c:layout/>
      <c:spPr>
        <a:noFill/>
        <a:ln>
          <a:noFill/>
        </a:ln>
      </c:spPr>
    </c:title>
    <c:plotArea>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INFO!$B$49:$B$62</c:f>
              <c:numCache/>
            </c:numRef>
          </c:xVal>
          <c:yVal>
            <c:numRef>
              <c:f>INFO!$C$49:$C$62</c:f>
              <c:numCache/>
            </c:numRef>
          </c:yVal>
          <c:smooth val="1"/>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INFO!$B$49:$B$62</c:f>
              <c:numCache/>
            </c:numRef>
          </c:xVal>
          <c:yVal>
            <c:numRef>
              <c:f>INFO!$D$49:$D$62</c:f>
              <c:numCache/>
            </c:numRef>
          </c:yVal>
          <c:smooth val="1"/>
        </c:ser>
        <c:axId val="48541401"/>
        <c:axId val="34219426"/>
      </c:scatterChart>
      <c:valAx>
        <c:axId val="4854140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Angle degrees</a:t>
                </a:r>
              </a:p>
            </c:rich>
          </c:tx>
          <c:layout/>
          <c:overlay val="0"/>
          <c:spPr>
            <a:noFill/>
            <a:ln>
              <a:noFill/>
            </a:ln>
          </c:spPr>
        </c:title>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4219426"/>
        <c:crossesAt val="0"/>
        <c:crossBetween val="midCat"/>
        <c:dispUnits/>
      </c:valAx>
      <c:valAx>
        <c:axId val="34219426"/>
        <c:scaling>
          <c:orientation val="minMax"/>
        </c:scaling>
        <c:axPos val="l"/>
        <c:title>
          <c:tx>
            <c:rich>
              <a:bodyPr vert="horz" rot="-5400000" anchor="ctr"/>
              <a:lstStyle/>
              <a:p>
                <a:pPr algn="ctr">
                  <a:defRPr/>
                </a:pPr>
                <a:r>
                  <a:rPr lang="en-US" cap="none" sz="825" b="1" i="0" u="none" baseline="0">
                    <a:solidFill>
                      <a:srgbClr val="000000"/>
                    </a:solidFill>
                    <a:latin typeface="Arial"/>
                    <a:ea typeface="Arial"/>
                    <a:cs typeface="Arial"/>
                  </a:rPr>
                  <a:t>Hop  length</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8541401"/>
        <c:crossesAt val="0"/>
        <c:crossBetween val="midCat"/>
        <c:dispUnits/>
      </c:valAx>
      <c:spPr>
        <a:solidFill>
          <a:srgbClr val="C0C0C0"/>
        </a:solidFill>
        <a:ln w="12700">
          <a:solidFill>
            <a:srgbClr val="808080"/>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62</xdr:row>
      <xdr:rowOff>57150</xdr:rowOff>
    </xdr:from>
    <xdr:to>
      <xdr:col>16</xdr:col>
      <xdr:colOff>762000</xdr:colOff>
      <xdr:row>74</xdr:row>
      <xdr:rowOff>28575</xdr:rowOff>
    </xdr:to>
    <xdr:graphicFrame>
      <xdr:nvGraphicFramePr>
        <xdr:cNvPr id="1" name="Chart 36"/>
        <xdr:cNvGraphicFramePr/>
      </xdr:nvGraphicFramePr>
      <xdr:xfrm>
        <a:off x="8277225" y="11896725"/>
        <a:ext cx="5010150" cy="2371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39</xdr:row>
      <xdr:rowOff>47625</xdr:rowOff>
    </xdr:from>
    <xdr:to>
      <xdr:col>8</xdr:col>
      <xdr:colOff>352425</xdr:colOff>
      <xdr:row>56</xdr:row>
      <xdr:rowOff>0</xdr:rowOff>
    </xdr:to>
    <xdr:pic>
      <xdr:nvPicPr>
        <xdr:cNvPr id="1" name="Picture 4"/>
        <xdr:cNvPicPr preferRelativeResize="1">
          <a:picLocks noChangeAspect="1"/>
        </xdr:cNvPicPr>
      </xdr:nvPicPr>
      <xdr:blipFill>
        <a:blip r:embed="rId1"/>
        <a:stretch>
          <a:fillRect/>
        </a:stretch>
      </xdr:blipFill>
      <xdr:spPr>
        <a:xfrm>
          <a:off x="1905000" y="8048625"/>
          <a:ext cx="4305300" cy="32861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47</xdr:row>
      <xdr:rowOff>57150</xdr:rowOff>
    </xdr:from>
    <xdr:to>
      <xdr:col>8</xdr:col>
      <xdr:colOff>104775</xdr:colOff>
      <xdr:row>58</xdr:row>
      <xdr:rowOff>104775</xdr:rowOff>
    </xdr:to>
    <xdr:graphicFrame>
      <xdr:nvGraphicFramePr>
        <xdr:cNvPr id="1" name="Chart 4"/>
        <xdr:cNvGraphicFramePr/>
      </xdr:nvGraphicFramePr>
      <xdr:xfrm>
        <a:off x="3905250" y="9839325"/>
        <a:ext cx="3905250" cy="235267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47</xdr:row>
      <xdr:rowOff>47625</xdr:rowOff>
    </xdr:from>
    <xdr:to>
      <xdr:col>4</xdr:col>
      <xdr:colOff>371475</xdr:colOff>
      <xdr:row>58</xdr:row>
      <xdr:rowOff>104775</xdr:rowOff>
    </xdr:to>
    <xdr:graphicFrame>
      <xdr:nvGraphicFramePr>
        <xdr:cNvPr id="2" name="Chart 5"/>
        <xdr:cNvGraphicFramePr/>
      </xdr:nvGraphicFramePr>
      <xdr:xfrm>
        <a:off x="142875" y="9829800"/>
        <a:ext cx="3714750" cy="2362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midoncorp.com/" TargetMode="Externa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1:V90"/>
  <sheetViews>
    <sheetView zoomScale="75" zoomScaleNormal="75" workbookViewId="0" topLeftCell="A10">
      <selection activeCell="B3" sqref="B3"/>
    </sheetView>
  </sheetViews>
  <sheetFormatPr defaultColWidth="8.88671875" defaultRowHeight="15"/>
  <cols>
    <col min="1" max="1" width="1.33203125" style="1" customWidth="1"/>
    <col min="2" max="2" width="17.3359375" style="1" customWidth="1"/>
    <col min="3" max="4" width="9.5546875" style="1" customWidth="1"/>
    <col min="5" max="5" width="8.3359375" style="1" customWidth="1"/>
    <col min="6" max="6" width="4.5546875" style="1" customWidth="1"/>
    <col min="7" max="8" width="9.5546875" style="1" customWidth="1"/>
    <col min="9" max="9" width="12.88671875" style="1" customWidth="1"/>
    <col min="10" max="10" width="9.6640625" style="1" customWidth="1"/>
    <col min="11" max="11" width="3.6640625" style="1" customWidth="1"/>
    <col min="12" max="12" width="10.88671875" style="1" customWidth="1"/>
    <col min="13" max="13" width="10.5546875" style="1" customWidth="1"/>
    <col min="14" max="16384" width="9.5546875" style="1" customWidth="1"/>
  </cols>
  <sheetData>
    <row r="1" spans="2:10" ht="15.75">
      <c r="B1" s="2" t="s">
        <v>0</v>
      </c>
      <c r="C1" s="2"/>
      <c r="D1" s="2"/>
      <c r="E1" s="3"/>
      <c r="F1" s="3"/>
      <c r="G1" s="3"/>
      <c r="H1" s="3"/>
      <c r="I1" s="3"/>
      <c r="J1" s="3"/>
    </row>
    <row r="2" spans="2:10" ht="15.75">
      <c r="B2" s="2" t="s">
        <v>1</v>
      </c>
      <c r="C2" s="2"/>
      <c r="D2" s="2"/>
      <c r="E2" s="2" t="s">
        <v>2</v>
      </c>
      <c r="F2" s="2"/>
      <c r="G2" s="2"/>
      <c r="H2" s="2"/>
      <c r="I2" s="3"/>
      <c r="J2" s="3"/>
    </row>
    <row r="3" spans="2:10" ht="15.75">
      <c r="B3" s="2" t="s">
        <v>3</v>
      </c>
      <c r="D3" s="2"/>
      <c r="E3" s="3"/>
      <c r="F3" s="3"/>
      <c r="G3" s="3"/>
      <c r="H3" s="3"/>
      <c r="I3" s="3"/>
      <c r="J3" s="3"/>
    </row>
    <row r="4" spans="2:10" ht="15">
      <c r="B4" s="3"/>
      <c r="C4" s="3"/>
      <c r="D4" s="3"/>
      <c r="E4" s="3"/>
      <c r="F4" s="3"/>
      <c r="G4" s="3"/>
      <c r="H4" s="3"/>
      <c r="I4" s="3"/>
      <c r="J4" s="3"/>
    </row>
    <row r="5" spans="2:15" ht="15">
      <c r="B5" s="4" t="s">
        <v>4</v>
      </c>
      <c r="C5" s="4"/>
      <c r="D5" s="4"/>
      <c r="E5" s="4"/>
      <c r="F5" s="5"/>
      <c r="G5" s="4" t="s">
        <v>5</v>
      </c>
      <c r="H5" s="4"/>
      <c r="I5" s="4"/>
      <c r="J5" s="4"/>
      <c r="K5" s="5"/>
      <c r="L5" s="6" t="s">
        <v>6</v>
      </c>
      <c r="M5" s="6"/>
      <c r="N5" s="6"/>
      <c r="O5" s="6"/>
    </row>
    <row r="6" spans="2:15" ht="15">
      <c r="B6" s="7" t="s">
        <v>7</v>
      </c>
      <c r="C6" s="7"/>
      <c r="D6" s="7"/>
      <c r="E6" s="7"/>
      <c r="F6" s="5"/>
      <c r="G6" s="8" t="s">
        <v>8</v>
      </c>
      <c r="H6" s="9"/>
      <c r="I6" s="10">
        <v>7</v>
      </c>
      <c r="J6" s="10" t="s">
        <v>9</v>
      </c>
      <c r="K6" s="5"/>
      <c r="L6" s="8" t="s">
        <v>10</v>
      </c>
      <c r="M6" s="9"/>
      <c r="N6" s="10">
        <v>2000</v>
      </c>
      <c r="O6" s="11" t="s">
        <v>11</v>
      </c>
    </row>
    <row r="7" spans="2:15" ht="15">
      <c r="B7" s="8" t="s">
        <v>12</v>
      </c>
      <c r="C7" s="9"/>
      <c r="D7" s="10">
        <v>2000</v>
      </c>
      <c r="E7" s="10" t="s">
        <v>11</v>
      </c>
      <c r="F7" s="5"/>
      <c r="G7" s="8" t="s">
        <v>13</v>
      </c>
      <c r="H7" s="9"/>
      <c r="I7" s="10">
        <v>7</v>
      </c>
      <c r="J7" s="10" t="s">
        <v>9</v>
      </c>
      <c r="K7" s="5"/>
      <c r="L7" s="8" t="s">
        <v>14</v>
      </c>
      <c r="M7" s="9"/>
      <c r="N7" s="10">
        <v>2</v>
      </c>
      <c r="O7" s="11" t="s">
        <v>11</v>
      </c>
    </row>
    <row r="8" spans="2:15" ht="15">
      <c r="B8" s="8" t="s">
        <v>15</v>
      </c>
      <c r="C8" s="9"/>
      <c r="D8" s="10">
        <v>50</v>
      </c>
      <c r="E8" s="10" t="s">
        <v>11</v>
      </c>
      <c r="F8" s="5"/>
      <c r="G8" s="8" t="s">
        <v>16</v>
      </c>
      <c r="H8" s="9"/>
      <c r="I8" s="10">
        <v>1.33</v>
      </c>
      <c r="J8" s="10"/>
      <c r="K8" s="5"/>
      <c r="L8" s="8" t="s">
        <v>17</v>
      </c>
      <c r="M8" s="9"/>
      <c r="N8" s="10">
        <v>1</v>
      </c>
      <c r="O8" s="11" t="s">
        <v>11</v>
      </c>
    </row>
    <row r="9" spans="2:15" ht="15">
      <c r="B9" s="8" t="s">
        <v>18</v>
      </c>
      <c r="C9" s="9"/>
      <c r="D9" s="10">
        <v>1.8</v>
      </c>
      <c r="E9" s="10" t="s">
        <v>19</v>
      </c>
      <c r="F9" s="5"/>
      <c r="G9" s="12" t="s">
        <v>20</v>
      </c>
      <c r="H9" s="13"/>
      <c r="I9" s="14">
        <f>(SQRT(I6)+SQRT(I7))*3.55*(I8)</f>
        <v>24.98382963038293</v>
      </c>
      <c r="J9" s="14" t="s">
        <v>21</v>
      </c>
      <c r="K9" s="5"/>
      <c r="L9" s="15" t="s">
        <v>22</v>
      </c>
      <c r="M9" s="16"/>
      <c r="N9" s="17">
        <f>SUM(N6/(N6+N7+N8)*100)</f>
        <v>99.85022466300549</v>
      </c>
      <c r="O9" s="18" t="s">
        <v>23</v>
      </c>
    </row>
    <row r="10" spans="2:11" ht="15">
      <c r="B10" s="12" t="s">
        <v>24</v>
      </c>
      <c r="C10" s="13"/>
      <c r="D10" s="14">
        <f>SUM(D8*D13)</f>
        <v>312.2498999199199</v>
      </c>
      <c r="E10" s="14" t="s">
        <v>11</v>
      </c>
      <c r="F10" s="5"/>
      <c r="G10" s="12" t="s">
        <v>25</v>
      </c>
      <c r="H10" s="13"/>
      <c r="I10" s="14">
        <f>SUM(I9*0.621)</f>
        <v>15.5149582004678</v>
      </c>
      <c r="J10" s="14" t="s">
        <v>26</v>
      </c>
      <c r="K10" s="5"/>
    </row>
    <row r="11" spans="2:11" ht="15">
      <c r="B11" s="12" t="s">
        <v>27</v>
      </c>
      <c r="C11" s="13"/>
      <c r="D11" s="14">
        <f>SUM(D10/(2*PI()*D9))</f>
        <v>27.608952806780483</v>
      </c>
      <c r="E11" s="14" t="s">
        <v>28</v>
      </c>
      <c r="F11" s="5"/>
      <c r="G11" s="19" t="s">
        <v>29</v>
      </c>
      <c r="H11" s="19">
        <f>SQRT(I6)</f>
        <v>2.6457513110645907</v>
      </c>
      <c r="I11" s="19">
        <f>SQRT(I7)</f>
        <v>2.6457513110645907</v>
      </c>
      <c r="J11" s="19" t="s">
        <v>30</v>
      </c>
      <c r="K11" s="20"/>
    </row>
    <row r="12" spans="2:15" ht="15">
      <c r="B12" s="12" t="s">
        <v>31</v>
      </c>
      <c r="C12" s="13"/>
      <c r="D12" s="14">
        <f>SUM(D7/D8)</f>
        <v>40</v>
      </c>
      <c r="E12" s="14"/>
      <c r="F12" s="5"/>
      <c r="G12" s="6" t="s">
        <v>32</v>
      </c>
      <c r="H12" s="6"/>
      <c r="I12" s="6"/>
      <c r="J12" s="6"/>
      <c r="K12" s="5"/>
      <c r="L12" s="6" t="s">
        <v>33</v>
      </c>
      <c r="M12" s="6"/>
      <c r="N12" s="6"/>
      <c r="O12" s="6"/>
    </row>
    <row r="13" spans="2:15" ht="15">
      <c r="B13" s="12" t="s">
        <v>34</v>
      </c>
      <c r="C13" s="13"/>
      <c r="D13" s="14">
        <f>SQRT(D12-1)</f>
        <v>6.244997998398398</v>
      </c>
      <c r="E13" s="14"/>
      <c r="F13" s="5"/>
      <c r="G13" s="21" t="s">
        <v>35</v>
      </c>
      <c r="H13" s="22"/>
      <c r="I13" s="22">
        <v>2</v>
      </c>
      <c r="J13" s="23"/>
      <c r="K13" s="5"/>
      <c r="L13" s="24" t="s">
        <v>36</v>
      </c>
      <c r="M13" s="25"/>
      <c r="N13" s="25">
        <v>28</v>
      </c>
      <c r="O13" s="26" t="s">
        <v>19</v>
      </c>
    </row>
    <row r="14" spans="2:15" ht="15">
      <c r="B14" s="12" t="s">
        <v>37</v>
      </c>
      <c r="C14" s="13"/>
      <c r="D14" s="14">
        <f>SUM(D7/D13)</f>
        <v>320.25630761017425</v>
      </c>
      <c r="E14" s="14" t="s">
        <v>11</v>
      </c>
      <c r="F14" s="5"/>
      <c r="G14" s="27" t="s">
        <v>38</v>
      </c>
      <c r="H14" s="28"/>
      <c r="I14" s="28">
        <f>LOG10(I13)*10</f>
        <v>3.010299956639812</v>
      </c>
      <c r="J14" s="29" t="s">
        <v>39</v>
      </c>
      <c r="K14" s="5"/>
      <c r="L14" s="30" t="s">
        <v>40</v>
      </c>
      <c r="M14" s="28"/>
      <c r="N14" s="28">
        <f>52-(23*LOG10(N13))-204</f>
        <v>-185.28463472087105</v>
      </c>
      <c r="O14" s="29" t="s">
        <v>41</v>
      </c>
    </row>
    <row r="15" spans="2:22" ht="15">
      <c r="B15" s="12" t="s">
        <v>42</v>
      </c>
      <c r="C15" s="13"/>
      <c r="D15" s="14">
        <f>SUM(1000000/(2*PI()*D9*D14))</f>
        <v>276.08952806780485</v>
      </c>
      <c r="E15" s="14" t="s">
        <v>43</v>
      </c>
      <c r="F15" s="5"/>
      <c r="G15" s="27" t="s">
        <v>44</v>
      </c>
      <c r="H15" s="28"/>
      <c r="I15" s="28">
        <f>LOG10(I13)*20</f>
        <v>6.020599913279624</v>
      </c>
      <c r="J15" s="29" t="s">
        <v>39</v>
      </c>
      <c r="K15" s="5"/>
      <c r="L15" s="27" t="s">
        <v>40</v>
      </c>
      <c r="M15" s="28"/>
      <c r="N15" s="28">
        <f>(N14)+30</f>
        <v>-155.28463472087105</v>
      </c>
      <c r="O15" s="29" t="s">
        <v>45</v>
      </c>
      <c r="Q15"/>
      <c r="R15" s="31"/>
      <c r="S15" s="31"/>
      <c r="T15" s="31"/>
      <c r="U15" s="31"/>
      <c r="V15"/>
    </row>
    <row r="16" spans="2:22" ht="15">
      <c r="B16" s="32"/>
      <c r="C16" s="32"/>
      <c r="D16" s="32"/>
      <c r="E16" s="32"/>
      <c r="F16" s="20"/>
      <c r="G16" s="33"/>
      <c r="H16" s="16"/>
      <c r="I16" s="17"/>
      <c r="J16" s="18"/>
      <c r="K16" s="5"/>
      <c r="L16" s="34" t="s">
        <v>46</v>
      </c>
      <c r="M16" s="35">
        <f>(N15)+34.5</f>
        <v>-120.78463472087105</v>
      </c>
      <c r="N16" s="36" t="s">
        <v>47</v>
      </c>
      <c r="O16" s="37">
        <f>(M16)-10</f>
        <v>-130.78463472087105</v>
      </c>
      <c r="Q16"/>
      <c r="R16"/>
      <c r="S16"/>
      <c r="T16"/>
      <c r="U16"/>
      <c r="V16"/>
    </row>
    <row r="17" spans="2:22" ht="15">
      <c r="B17" s="6" t="s">
        <v>48</v>
      </c>
      <c r="C17" s="6"/>
      <c r="D17" s="6"/>
      <c r="E17" s="6"/>
      <c r="F17" s="5"/>
      <c r="G17" s="38"/>
      <c r="H17" s="38"/>
      <c r="I17" s="38"/>
      <c r="J17" s="38"/>
      <c r="K17" s="20"/>
      <c r="Q17"/>
      <c r="R17"/>
      <c r="S17"/>
      <c r="T17"/>
      <c r="U17"/>
      <c r="V17"/>
    </row>
    <row r="18" spans="2:22" ht="15">
      <c r="B18" s="39" t="s">
        <v>49</v>
      </c>
      <c r="C18" s="40">
        <v>23</v>
      </c>
      <c r="D18" s="40">
        <f>SUM(C18*10^-12)</f>
        <v>2.2999999999999998E-11</v>
      </c>
      <c r="E18" s="41" t="s">
        <v>50</v>
      </c>
      <c r="F18" s="5"/>
      <c r="G18" s="4" t="s">
        <v>51</v>
      </c>
      <c r="H18" s="4"/>
      <c r="I18" s="4"/>
      <c r="J18" s="4"/>
      <c r="K18" s="5"/>
      <c r="L18" s="6" t="s">
        <v>52</v>
      </c>
      <c r="M18" s="6"/>
      <c r="N18" s="6"/>
      <c r="O18" s="6"/>
      <c r="Q18"/>
      <c r="R18"/>
      <c r="S18"/>
      <c r="T18"/>
      <c r="U18"/>
      <c r="V18"/>
    </row>
    <row r="19" spans="2:22" ht="15">
      <c r="B19" s="39" t="s">
        <v>53</v>
      </c>
      <c r="C19" s="40">
        <v>10</v>
      </c>
      <c r="D19" s="40">
        <f>SUM(C19*10^6)</f>
        <v>10000000</v>
      </c>
      <c r="E19" s="41" t="s">
        <v>54</v>
      </c>
      <c r="F19" s="5"/>
      <c r="G19" s="8" t="s">
        <v>55</v>
      </c>
      <c r="H19" s="9"/>
      <c r="I19" s="10">
        <v>288</v>
      </c>
      <c r="J19" s="10" t="s">
        <v>19</v>
      </c>
      <c r="K19" s="5"/>
      <c r="L19" s="42" t="s">
        <v>56</v>
      </c>
      <c r="M19" s="43"/>
      <c r="N19" s="43">
        <v>10</v>
      </c>
      <c r="O19" s="44" t="s">
        <v>57</v>
      </c>
      <c r="Q19"/>
      <c r="R19"/>
      <c r="S19"/>
      <c r="T19"/>
      <c r="U19"/>
      <c r="V19"/>
    </row>
    <row r="20" spans="2:22" ht="15">
      <c r="B20" s="45" t="s">
        <v>58</v>
      </c>
      <c r="C20" s="46">
        <f>SUM(1/((D18*D19)*(2*3.142)))</f>
        <v>691.8883015525975</v>
      </c>
      <c r="D20" s="47" t="s">
        <v>59</v>
      </c>
      <c r="E20" s="48"/>
      <c r="F20" s="5"/>
      <c r="G20" s="8" t="s">
        <v>60</v>
      </c>
      <c r="H20" s="9"/>
      <c r="I20" s="10">
        <v>20000</v>
      </c>
      <c r="J20" s="10" t="s">
        <v>61</v>
      </c>
      <c r="K20" s="5"/>
      <c r="L20" s="42" t="s">
        <v>62</v>
      </c>
      <c r="M20" s="43"/>
      <c r="N20" s="43">
        <v>5</v>
      </c>
      <c r="O20" s="44" t="s">
        <v>57</v>
      </c>
      <c r="Q20"/>
      <c r="R20" s="31"/>
      <c r="S20" s="31"/>
      <c r="T20" s="31"/>
      <c r="U20" s="31"/>
      <c r="V20"/>
    </row>
    <row r="21" spans="2:22" ht="15">
      <c r="B21" s="32"/>
      <c r="C21" s="32"/>
      <c r="D21" s="32"/>
      <c r="E21" s="32"/>
      <c r="F21" s="20"/>
      <c r="G21" s="12" t="s">
        <v>63</v>
      </c>
      <c r="H21" s="13"/>
      <c r="I21" s="14">
        <f>SUM(300/I19)</f>
        <v>1.0416666666666667</v>
      </c>
      <c r="J21" s="14" t="s">
        <v>64</v>
      </c>
      <c r="K21" s="5"/>
      <c r="L21" s="49" t="s">
        <v>65</v>
      </c>
      <c r="M21" s="14"/>
      <c r="N21" s="14">
        <f>(31200)*((N20)/((N19)*(N19)))*(N20)/((N19)*(N19))</f>
        <v>78</v>
      </c>
      <c r="O21" s="50" t="s">
        <v>66</v>
      </c>
      <c r="Q21"/>
      <c r="R21"/>
      <c r="S21"/>
      <c r="T21"/>
      <c r="U21"/>
      <c r="V21"/>
    </row>
    <row r="22" spans="2:22" ht="15">
      <c r="B22" s="6" t="s">
        <v>48</v>
      </c>
      <c r="C22" s="6"/>
      <c r="D22" s="6"/>
      <c r="E22" s="6"/>
      <c r="F22" s="5"/>
      <c r="G22" s="51" t="s">
        <v>67</v>
      </c>
      <c r="H22" s="52">
        <f>LOG10(I22)</f>
        <v>5.382511092725646</v>
      </c>
      <c r="I22" s="52">
        <f>SUM(4*PI()*I20/I21)</f>
        <v>241274.3157956961</v>
      </c>
      <c r="J22" s="14"/>
      <c r="K22" s="5"/>
      <c r="L22" s="49" t="s">
        <v>68</v>
      </c>
      <c r="M22" s="14"/>
      <c r="N22" s="14">
        <f>(N21)/50</f>
        <v>1.56</v>
      </c>
      <c r="O22" s="50"/>
      <c r="Q22"/>
      <c r="R22"/>
      <c r="S22"/>
      <c r="T22"/>
      <c r="U22"/>
      <c r="V22"/>
    </row>
    <row r="23" spans="2:22" ht="15">
      <c r="B23" s="53" t="s">
        <v>69</v>
      </c>
      <c r="C23" s="54">
        <v>1</v>
      </c>
      <c r="D23" s="54">
        <f>SUM(C23*10^-6)</f>
        <v>1E-06</v>
      </c>
      <c r="E23" s="55" t="s">
        <v>70</v>
      </c>
      <c r="F23" s="5"/>
      <c r="G23" s="12" t="s">
        <v>71</v>
      </c>
      <c r="H23" s="14"/>
      <c r="I23" s="14">
        <f>SUM(H22*20)</f>
        <v>107.65022185451292</v>
      </c>
      <c r="J23" s="14" t="s">
        <v>39</v>
      </c>
      <c r="K23" s="5"/>
      <c r="L23" s="56" t="s">
        <v>72</v>
      </c>
      <c r="M23" s="17"/>
      <c r="N23" s="17">
        <f>50/(N21)</f>
        <v>0.6410256410256411</v>
      </c>
      <c r="O23" s="18"/>
      <c r="Q23"/>
      <c r="R23"/>
      <c r="S23"/>
      <c r="T23"/>
      <c r="U23"/>
      <c r="V23"/>
    </row>
    <row r="24" spans="2:11" ht="15">
      <c r="B24" s="53" t="s">
        <v>53</v>
      </c>
      <c r="C24" s="54">
        <v>5.3</v>
      </c>
      <c r="D24" s="54">
        <f>SUM(C24*10^6)</f>
        <v>5300000</v>
      </c>
      <c r="E24" s="55" t="s">
        <v>54</v>
      </c>
      <c r="F24" s="5"/>
      <c r="G24" s="32"/>
      <c r="H24" s="32"/>
      <c r="I24" s="32"/>
      <c r="J24" s="32"/>
      <c r="K24" s="20"/>
    </row>
    <row r="25" spans="2:15" ht="15">
      <c r="B25" s="57" t="s">
        <v>73</v>
      </c>
      <c r="C25" s="58">
        <f>SUM((2*3.142)*(D23)*(D24))</f>
        <v>33.3052</v>
      </c>
      <c r="D25" s="59" t="s">
        <v>74</v>
      </c>
      <c r="E25" s="60"/>
      <c r="F25" s="5"/>
      <c r="G25" s="4" t="s">
        <v>75</v>
      </c>
      <c r="H25" s="4"/>
      <c r="I25" s="4"/>
      <c r="J25" s="4"/>
      <c r="K25" s="5"/>
      <c r="L25" s="61" t="s">
        <v>76</v>
      </c>
      <c r="M25" s="61"/>
      <c r="N25" s="61"/>
      <c r="O25" s="61"/>
    </row>
    <row r="26" spans="2:15" ht="15">
      <c r="B26" s="32"/>
      <c r="C26" s="32"/>
      <c r="D26" s="32"/>
      <c r="E26" s="32"/>
      <c r="F26" s="20"/>
      <c r="G26" s="8" t="s">
        <v>77</v>
      </c>
      <c r="H26" s="9"/>
      <c r="I26" s="10">
        <v>28</v>
      </c>
      <c r="J26" s="10" t="s">
        <v>19</v>
      </c>
      <c r="K26" s="5"/>
      <c r="L26" s="62" t="s">
        <v>78</v>
      </c>
      <c r="M26" s="10"/>
      <c r="N26" s="10">
        <v>2</v>
      </c>
      <c r="O26" s="11" t="s">
        <v>66</v>
      </c>
    </row>
    <row r="27" spans="2:15" ht="15">
      <c r="B27" s="4" t="s">
        <v>79</v>
      </c>
      <c r="C27" s="4"/>
      <c r="D27" s="4"/>
      <c r="E27" s="4"/>
      <c r="F27" s="5"/>
      <c r="G27" s="12" t="s">
        <v>80</v>
      </c>
      <c r="H27" s="13"/>
      <c r="I27" s="14">
        <f>SUM(100)/SQRT(I26)</f>
        <v>18.89822365046136</v>
      </c>
      <c r="J27" s="14" t="s">
        <v>26</v>
      </c>
      <c r="K27" s="5"/>
      <c r="L27" s="8" t="s">
        <v>81</v>
      </c>
      <c r="M27" s="9"/>
      <c r="N27" s="10">
        <v>600</v>
      </c>
      <c r="O27" s="11" t="s">
        <v>66</v>
      </c>
    </row>
    <row r="28" spans="2:15" ht="15">
      <c r="B28" s="8" t="s">
        <v>82</v>
      </c>
      <c r="C28" s="63"/>
      <c r="D28" s="10">
        <v>1E-09</v>
      </c>
      <c r="E28" s="10" t="s">
        <v>83</v>
      </c>
      <c r="F28" s="5"/>
      <c r="G28" s="64"/>
      <c r="H28" s="64"/>
      <c r="I28" s="64"/>
      <c r="J28" s="64"/>
      <c r="K28" s="20"/>
      <c r="L28" s="65" t="s">
        <v>84</v>
      </c>
      <c r="M28" s="17"/>
      <c r="N28" s="17">
        <f>SQRT((N26)*(N27))</f>
        <v>34.64101615137755</v>
      </c>
      <c r="O28" s="18" t="s">
        <v>66</v>
      </c>
    </row>
    <row r="29" spans="2:11" ht="15">
      <c r="B29" s="8" t="s">
        <v>85</v>
      </c>
      <c r="C29" s="63"/>
      <c r="D29" s="10">
        <v>2</v>
      </c>
      <c r="E29" s="10" t="s">
        <v>19</v>
      </c>
      <c r="F29" s="5"/>
      <c r="G29" s="66" t="s">
        <v>86</v>
      </c>
      <c r="H29" s="66"/>
      <c r="I29" s="66"/>
      <c r="J29" s="66"/>
      <c r="K29" s="5"/>
    </row>
    <row r="30" spans="2:15" ht="15">
      <c r="B30" s="8" t="s">
        <v>87</v>
      </c>
      <c r="C30" s="63"/>
      <c r="D30" s="10">
        <v>1.3</v>
      </c>
      <c r="E30" s="10" t="s">
        <v>21</v>
      </c>
      <c r="F30" s="5"/>
      <c r="G30" s="67" t="s">
        <v>88</v>
      </c>
      <c r="H30" s="68"/>
      <c r="I30" s="68"/>
      <c r="J30" s="68">
        <v>5</v>
      </c>
      <c r="K30" s="5"/>
      <c r="L30" s="6" t="s">
        <v>89</v>
      </c>
      <c r="M30" s="6"/>
      <c r="N30" s="6"/>
      <c r="O30" s="6"/>
    </row>
    <row r="31" spans="2:15" ht="15">
      <c r="B31" s="12" t="s">
        <v>90</v>
      </c>
      <c r="C31" s="69"/>
      <c r="D31" s="14">
        <f>SUM(D30*0.621)</f>
        <v>0.8073</v>
      </c>
      <c r="E31" s="14" t="s">
        <v>26</v>
      </c>
      <c r="F31" s="5"/>
      <c r="G31" s="67" t="s">
        <v>91</v>
      </c>
      <c r="H31" s="68"/>
      <c r="I31" s="68"/>
      <c r="J31" s="68">
        <v>10</v>
      </c>
      <c r="K31" s="5"/>
      <c r="L31" s="42" t="s">
        <v>92</v>
      </c>
      <c r="M31" s="43"/>
      <c r="N31" s="70">
        <v>12</v>
      </c>
      <c r="O31" s="44" t="s">
        <v>93</v>
      </c>
    </row>
    <row r="32" spans="2:15" ht="15">
      <c r="B32" s="12" t="s">
        <v>94</v>
      </c>
      <c r="C32" s="69"/>
      <c r="D32" s="14">
        <f>SUM(300/D29)</f>
        <v>150</v>
      </c>
      <c r="E32" s="14" t="s">
        <v>9</v>
      </c>
      <c r="F32" s="5"/>
      <c r="G32" s="67" t="s">
        <v>95</v>
      </c>
      <c r="H32" s="68"/>
      <c r="I32" s="71">
        <f>SUM(J32)*(J32)</f>
        <v>100</v>
      </c>
      <c r="J32" s="71">
        <f>SUM(2*J30)</f>
        <v>10</v>
      </c>
      <c r="K32" s="5"/>
      <c r="L32" s="49" t="s">
        <v>96</v>
      </c>
      <c r="M32" s="14"/>
      <c r="N32" s="69">
        <v>0.02</v>
      </c>
      <c r="O32" s="50" t="s">
        <v>97</v>
      </c>
    </row>
    <row r="33" spans="2:15" ht="15">
      <c r="B33" s="12" t="s">
        <v>98</v>
      </c>
      <c r="C33" s="69"/>
      <c r="D33" s="14">
        <f>SUM(20*LOG10(4*PI()*(D30*1000)/D32))</f>
        <v>40.74123914546504</v>
      </c>
      <c r="E33" s="14" t="s">
        <v>39</v>
      </c>
      <c r="F33" s="5"/>
      <c r="G33" s="72" t="s">
        <v>99</v>
      </c>
      <c r="H33" s="73"/>
      <c r="I33" s="14"/>
      <c r="J33" s="73">
        <f>SUM(I32)/(J31)</f>
        <v>10</v>
      </c>
      <c r="K33" s="5"/>
      <c r="L33" s="5" t="s">
        <v>100</v>
      </c>
      <c r="M33" s="20"/>
      <c r="N33" s="70">
        <v>2.5</v>
      </c>
      <c r="O33" s="74" t="s">
        <v>93</v>
      </c>
    </row>
    <row r="34" spans="2:15" ht="15">
      <c r="B34" s="12" t="s">
        <v>101</v>
      </c>
      <c r="C34" s="69"/>
      <c r="D34" s="14">
        <f>SUM(10*LOG10(D28/0.001))</f>
        <v>-60</v>
      </c>
      <c r="E34" s="14" t="s">
        <v>102</v>
      </c>
      <c r="F34" s="5"/>
      <c r="G34" s="32"/>
      <c r="H34" s="32"/>
      <c r="I34" s="32"/>
      <c r="J34" s="32"/>
      <c r="K34" s="20"/>
      <c r="L34" s="75" t="s">
        <v>103</v>
      </c>
      <c r="M34" s="75"/>
      <c r="N34" s="76">
        <f>(N31)-(N33)</f>
        <v>9.5</v>
      </c>
      <c r="O34" s="77"/>
    </row>
    <row r="35" spans="2:15" ht="15">
      <c r="B35" s="12" t="s">
        <v>104</v>
      </c>
      <c r="C35" s="69"/>
      <c r="D35" s="14">
        <f>SUM(D34-D33)</f>
        <v>-100.74123914546504</v>
      </c>
      <c r="E35" s="14" t="s">
        <v>102</v>
      </c>
      <c r="F35" s="5"/>
      <c r="G35" s="4" t="s">
        <v>105</v>
      </c>
      <c r="H35" s="4"/>
      <c r="I35" s="4"/>
      <c r="J35" s="4"/>
      <c r="K35" s="5"/>
      <c r="L35" s="78" t="s">
        <v>106</v>
      </c>
      <c r="M35" s="79"/>
      <c r="N35" s="80">
        <f>(N34)/(N32)</f>
        <v>475</v>
      </c>
      <c r="O35" s="81" t="s">
        <v>107</v>
      </c>
    </row>
    <row r="36" spans="2:11" ht="15">
      <c r="B36" s="32"/>
      <c r="C36" s="32"/>
      <c r="D36" s="32"/>
      <c r="E36" s="32"/>
      <c r="F36" s="20"/>
      <c r="G36" s="8" t="s">
        <v>108</v>
      </c>
      <c r="H36" s="63"/>
      <c r="I36" s="10">
        <v>47</v>
      </c>
      <c r="J36" s="10" t="s">
        <v>43</v>
      </c>
      <c r="K36" s="5"/>
    </row>
    <row r="37" spans="2:15" ht="15">
      <c r="B37" s="66" t="s">
        <v>109</v>
      </c>
      <c r="C37" s="66"/>
      <c r="D37" s="66"/>
      <c r="E37" s="66"/>
      <c r="F37" s="5"/>
      <c r="G37" s="8" t="s">
        <v>110</v>
      </c>
      <c r="H37" s="63"/>
      <c r="I37" s="10">
        <v>5.3</v>
      </c>
      <c r="J37" s="10" t="s">
        <v>28</v>
      </c>
      <c r="K37" s="5"/>
      <c r="L37" s="6" t="s">
        <v>111</v>
      </c>
      <c r="M37" s="6"/>
      <c r="N37" s="6"/>
      <c r="O37" s="6"/>
    </row>
    <row r="38" spans="2:15" ht="15">
      <c r="B38" s="8" t="s">
        <v>112</v>
      </c>
      <c r="C38" s="63"/>
      <c r="D38" s="10">
        <v>48</v>
      </c>
      <c r="E38" s="10" t="s">
        <v>11</v>
      </c>
      <c r="F38" s="5"/>
      <c r="G38" s="12" t="s">
        <v>113</v>
      </c>
      <c r="H38" s="13"/>
      <c r="I38" s="14">
        <f>SUM((159.15)/SQRT(I36*I37))</f>
        <v>10.083696811636118</v>
      </c>
      <c r="J38" s="14" t="s">
        <v>19</v>
      </c>
      <c r="K38" s="5"/>
      <c r="L38" s="62" t="s">
        <v>114</v>
      </c>
      <c r="M38" s="10"/>
      <c r="N38" s="10">
        <v>0.01</v>
      </c>
      <c r="O38" s="11" t="s">
        <v>115</v>
      </c>
    </row>
    <row r="39" spans="2:15" ht="15">
      <c r="B39" s="8" t="s">
        <v>85</v>
      </c>
      <c r="C39" s="63"/>
      <c r="D39" s="10">
        <v>14</v>
      </c>
      <c r="E39" s="10" t="s">
        <v>19</v>
      </c>
      <c r="F39" s="5"/>
      <c r="G39" s="32"/>
      <c r="H39" s="32"/>
      <c r="I39" s="32"/>
      <c r="J39" s="32"/>
      <c r="K39" s="20"/>
      <c r="L39" s="56" t="s">
        <v>116</v>
      </c>
      <c r="M39" s="17"/>
      <c r="N39" s="17">
        <f>(10*LOG10(N38))</f>
        <v>-20</v>
      </c>
      <c r="O39" s="18" t="s">
        <v>117</v>
      </c>
    </row>
    <row r="40" spans="2:11" ht="15">
      <c r="B40" s="12" t="s">
        <v>118</v>
      </c>
      <c r="C40" s="69"/>
      <c r="D40" s="14">
        <f>SUM(D38/(2*PI()*D39))</f>
        <v>0.545674090600784</v>
      </c>
      <c r="E40" s="14" t="s">
        <v>28</v>
      </c>
      <c r="F40" s="5"/>
      <c r="G40" s="66" t="s">
        <v>119</v>
      </c>
      <c r="H40" s="66"/>
      <c r="I40" s="66"/>
      <c r="J40" s="66"/>
      <c r="K40" s="5"/>
    </row>
    <row r="41" spans="2:15" ht="15">
      <c r="B41" s="82"/>
      <c r="C41" s="82"/>
      <c r="D41" s="83"/>
      <c r="E41" s="83"/>
      <c r="F41" s="20"/>
      <c r="G41" s="62" t="s">
        <v>120</v>
      </c>
      <c r="H41" s="10">
        <v>3300</v>
      </c>
      <c r="I41" s="10" t="s">
        <v>43</v>
      </c>
      <c r="J41" s="84">
        <f>PRODUCT(H41,0.000000000001)</f>
        <v>3.2999999999999998E-09</v>
      </c>
      <c r="K41" s="5"/>
      <c r="L41" s="6" t="s">
        <v>121</v>
      </c>
      <c r="M41" s="6"/>
      <c r="N41" s="6"/>
      <c r="O41" s="6"/>
    </row>
    <row r="42" spans="2:15" ht="15">
      <c r="B42" s="4" t="s">
        <v>122</v>
      </c>
      <c r="C42" s="4"/>
      <c r="D42" s="4"/>
      <c r="E42" s="4"/>
      <c r="F42" s="5"/>
      <c r="G42" s="62" t="s">
        <v>123</v>
      </c>
      <c r="H42" s="85">
        <v>69</v>
      </c>
      <c r="I42" s="10" t="s">
        <v>28</v>
      </c>
      <c r="J42" s="84">
        <f>PRODUCT((H42),0.000001)</f>
        <v>6.9E-05</v>
      </c>
      <c r="K42" s="5"/>
      <c r="L42" s="62" t="s">
        <v>124</v>
      </c>
      <c r="M42" s="10"/>
      <c r="N42" s="10">
        <v>100</v>
      </c>
      <c r="O42" s="11" t="s">
        <v>125</v>
      </c>
    </row>
    <row r="43" spans="2:15" ht="15">
      <c r="B43" s="8" t="s">
        <v>126</v>
      </c>
      <c r="C43" s="9"/>
      <c r="D43" s="10">
        <v>2</v>
      </c>
      <c r="E43" s="10" t="s">
        <v>11</v>
      </c>
      <c r="F43" s="5"/>
      <c r="G43" s="12" t="s">
        <v>127</v>
      </c>
      <c r="H43" s="86">
        <f>(SUM((1*0.000001))/(2*PI()*SQRT((J41)*(J42))))</f>
        <v>0.33353285142571615</v>
      </c>
      <c r="I43" s="14" t="s">
        <v>19</v>
      </c>
      <c r="J43" s="20"/>
      <c r="K43" s="5"/>
      <c r="L43" s="56" t="s">
        <v>128</v>
      </c>
      <c r="M43" s="17"/>
      <c r="N43" s="17">
        <f>(N42)-113</f>
        <v>-13</v>
      </c>
      <c r="O43" s="87" t="s">
        <v>117</v>
      </c>
    </row>
    <row r="44" spans="2:11" ht="15">
      <c r="B44" s="8" t="s">
        <v>85</v>
      </c>
      <c r="C44" s="9"/>
      <c r="D44" s="10">
        <v>14</v>
      </c>
      <c r="E44" s="10" t="s">
        <v>19</v>
      </c>
      <c r="F44" s="5"/>
      <c r="G44" s="32"/>
      <c r="H44" s="32"/>
      <c r="I44" s="32"/>
      <c r="J44" s="32"/>
      <c r="K44" s="20"/>
    </row>
    <row r="45" spans="2:15" ht="15">
      <c r="B45" s="12" t="s">
        <v>129</v>
      </c>
      <c r="C45" s="13"/>
      <c r="D45" s="14">
        <f>SUM(1000000/(2*PI()*D44*D43))</f>
        <v>5684.105110424834</v>
      </c>
      <c r="E45" s="88" t="s">
        <v>43</v>
      </c>
      <c r="F45" s="5"/>
      <c r="G45" s="4" t="s">
        <v>130</v>
      </c>
      <c r="H45" s="4"/>
      <c r="I45" s="4"/>
      <c r="J45" s="4"/>
      <c r="K45" s="5"/>
      <c r="L45" s="6" t="s">
        <v>131</v>
      </c>
      <c r="M45" s="6"/>
      <c r="N45" s="6"/>
      <c r="O45" s="6"/>
    </row>
    <row r="46" spans="2:15" ht="15">
      <c r="B46" s="32"/>
      <c r="C46" s="32"/>
      <c r="D46" s="32"/>
      <c r="E46" s="32"/>
      <c r="F46" s="20"/>
      <c r="G46" s="62" t="s">
        <v>132</v>
      </c>
      <c r="H46" s="10">
        <v>0.66</v>
      </c>
      <c r="I46" s="10"/>
      <c r="J46" s="20"/>
      <c r="K46" s="5"/>
      <c r="L46" s="89" t="s">
        <v>36</v>
      </c>
      <c r="M46" s="90">
        <v>10</v>
      </c>
      <c r="N46" s="90" t="s">
        <v>133</v>
      </c>
      <c r="O46" s="74"/>
    </row>
    <row r="47" spans="2:15" ht="15">
      <c r="B47" s="4" t="s">
        <v>134</v>
      </c>
      <c r="C47" s="4"/>
      <c r="D47" s="4"/>
      <c r="E47" s="4"/>
      <c r="F47" s="5"/>
      <c r="G47" s="62" t="s">
        <v>56</v>
      </c>
      <c r="H47" s="10">
        <v>10</v>
      </c>
      <c r="I47" s="10" t="s">
        <v>57</v>
      </c>
      <c r="J47" s="20"/>
      <c r="K47" s="5"/>
      <c r="L47" s="89" t="s">
        <v>135</v>
      </c>
      <c r="M47" s="90">
        <v>1</v>
      </c>
      <c r="N47" s="90" t="s">
        <v>57</v>
      </c>
      <c r="O47" s="74"/>
    </row>
    <row r="48" spans="2:15" ht="15">
      <c r="B48" s="8" t="s">
        <v>136</v>
      </c>
      <c r="C48" s="10">
        <v>2</v>
      </c>
      <c r="D48" s="20"/>
      <c r="E48" s="20"/>
      <c r="F48" s="5"/>
      <c r="G48" s="91" t="s">
        <v>137</v>
      </c>
      <c r="H48" s="14">
        <f>SUM(25/H47)*(H46)</f>
        <v>1.6500000000000001</v>
      </c>
      <c r="I48" s="14" t="s">
        <v>57</v>
      </c>
      <c r="J48" s="20"/>
      <c r="K48" s="5"/>
      <c r="L48" s="92" t="s">
        <v>138</v>
      </c>
      <c r="M48" s="93">
        <f>SQRT((M46))*2*(M47)</f>
        <v>6.324555320336759</v>
      </c>
      <c r="N48" s="93" t="s">
        <v>139</v>
      </c>
      <c r="O48" s="94"/>
    </row>
    <row r="49" spans="2:11" ht="15">
      <c r="B49" s="8" t="s">
        <v>140</v>
      </c>
      <c r="C49" s="10">
        <v>1</v>
      </c>
      <c r="D49" s="20"/>
      <c r="E49" s="20"/>
      <c r="F49" s="5"/>
      <c r="G49" s="32"/>
      <c r="H49" s="32"/>
      <c r="I49" s="32"/>
      <c r="J49" s="32"/>
      <c r="K49" s="20"/>
    </row>
    <row r="50" spans="2:15" ht="15">
      <c r="B50" s="12" t="s">
        <v>141</v>
      </c>
      <c r="C50" s="14">
        <f>SUMSQ(C48/C49)</f>
        <v>4</v>
      </c>
      <c r="D50" s="14" t="s">
        <v>142</v>
      </c>
      <c r="E50" s="20"/>
      <c r="F50" s="5"/>
      <c r="G50" s="4" t="s">
        <v>143</v>
      </c>
      <c r="H50" s="4"/>
      <c r="I50" s="4"/>
      <c r="J50" s="4"/>
      <c r="K50" s="5"/>
      <c r="L50" s="6" t="s">
        <v>144</v>
      </c>
      <c r="M50" s="6"/>
      <c r="N50" s="6"/>
      <c r="O50" s="6"/>
    </row>
    <row r="51" spans="2:15" ht="15">
      <c r="B51" s="32"/>
      <c r="C51" s="32"/>
      <c r="D51" s="32"/>
      <c r="E51" s="32"/>
      <c r="F51" s="20"/>
      <c r="G51" s="62" t="s">
        <v>145</v>
      </c>
      <c r="H51" s="10">
        <v>300</v>
      </c>
      <c r="I51" s="10" t="s">
        <v>11</v>
      </c>
      <c r="J51" s="20"/>
      <c r="K51" s="5"/>
      <c r="L51" s="62" t="s">
        <v>146</v>
      </c>
      <c r="M51" s="10">
        <v>19</v>
      </c>
      <c r="N51" s="10" t="s">
        <v>147</v>
      </c>
      <c r="O51" s="74"/>
    </row>
    <row r="52" spans="2:15" ht="15">
      <c r="B52" s="66" t="s">
        <v>148</v>
      </c>
      <c r="C52" s="66"/>
      <c r="D52" s="66"/>
      <c r="E52" s="66"/>
      <c r="F52" s="5"/>
      <c r="G52" s="62" t="s">
        <v>149</v>
      </c>
      <c r="H52" s="95">
        <v>123</v>
      </c>
      <c r="I52" s="10" t="s">
        <v>11</v>
      </c>
      <c r="J52" s="20"/>
      <c r="K52" s="5"/>
      <c r="L52" s="62" t="s">
        <v>150</v>
      </c>
      <c r="M52" s="10">
        <v>0.35</v>
      </c>
      <c r="N52" s="10" t="s">
        <v>147</v>
      </c>
      <c r="O52" s="74"/>
    </row>
    <row r="53" spans="2:15" ht="15">
      <c r="B53" s="8" t="s">
        <v>151</v>
      </c>
      <c r="C53" s="63"/>
      <c r="D53" s="10">
        <v>0.5</v>
      </c>
      <c r="E53" s="10" t="s">
        <v>11</v>
      </c>
      <c r="F53" s="5"/>
      <c r="G53" s="91" t="s">
        <v>152</v>
      </c>
      <c r="H53" s="96">
        <f>SUM(H52*H52)/(H51)</f>
        <v>50.43</v>
      </c>
      <c r="I53" s="14" t="s">
        <v>11</v>
      </c>
      <c r="J53" s="20"/>
      <c r="K53" s="5"/>
      <c r="L53" s="97" t="s">
        <v>153</v>
      </c>
      <c r="M53" s="98">
        <f>((M51+M52))</f>
        <v>19.35</v>
      </c>
      <c r="N53" s="14"/>
      <c r="O53" s="74"/>
    </row>
    <row r="54" spans="2:15" ht="15">
      <c r="B54" s="8" t="s">
        <v>154</v>
      </c>
      <c r="C54" s="63"/>
      <c r="D54" s="10">
        <v>-0.5</v>
      </c>
      <c r="E54" s="10" t="s">
        <v>11</v>
      </c>
      <c r="F54" s="5"/>
      <c r="G54" s="91" t="s">
        <v>155</v>
      </c>
      <c r="H54" s="14">
        <f>SUM(H53/50)</f>
        <v>1.0086</v>
      </c>
      <c r="I54" s="14" t="s">
        <v>156</v>
      </c>
      <c r="J54" s="20"/>
      <c r="K54" s="5"/>
      <c r="L54" s="91" t="s">
        <v>157</v>
      </c>
      <c r="M54" s="14">
        <f>(M53*M53)/100</f>
        <v>3.7442250000000006</v>
      </c>
      <c r="N54" s="14" t="s">
        <v>158</v>
      </c>
      <c r="O54" s="74"/>
    </row>
    <row r="55" spans="2:15" ht="15">
      <c r="B55" s="12" t="s">
        <v>159</v>
      </c>
      <c r="C55" s="69"/>
      <c r="D55" s="13">
        <f>SQRT((D53*D53)+(D54*D54))</f>
        <v>0.7071067811865476</v>
      </c>
      <c r="E55" s="14" t="s">
        <v>11</v>
      </c>
      <c r="F55" s="5"/>
      <c r="G55" s="91" t="s">
        <v>155</v>
      </c>
      <c r="H55" s="14">
        <f>SUM(50/H53)</f>
        <v>0.99147332936744</v>
      </c>
      <c r="I55" s="14" t="s">
        <v>160</v>
      </c>
      <c r="J55" s="14"/>
      <c r="K55" s="5"/>
      <c r="L55" s="65"/>
      <c r="M55" s="17"/>
      <c r="N55" s="17"/>
      <c r="O55" s="18"/>
    </row>
    <row r="56" spans="2:11" ht="15">
      <c r="B56" s="91" t="s">
        <v>161</v>
      </c>
      <c r="C56" s="14"/>
      <c r="D56" s="13">
        <f>ATAN(D54/D53)</f>
        <v>-0.7853981633974483</v>
      </c>
      <c r="E56" s="14" t="s">
        <v>162</v>
      </c>
      <c r="F56" s="5"/>
      <c r="G56" s="32"/>
      <c r="H56" s="32"/>
      <c r="I56" s="32"/>
      <c r="J56" s="32"/>
      <c r="K56" s="20"/>
    </row>
    <row r="57" spans="2:15" ht="15">
      <c r="B57" s="91" t="s">
        <v>161</v>
      </c>
      <c r="C57" s="14"/>
      <c r="D57" s="13">
        <f>SUM(57.2957795)*D56</f>
        <v>-44.99999998972517</v>
      </c>
      <c r="E57" s="14" t="s">
        <v>163</v>
      </c>
      <c r="F57" s="5"/>
      <c r="G57" s="61" t="s">
        <v>164</v>
      </c>
      <c r="H57" s="61"/>
      <c r="I57" s="61"/>
      <c r="J57" s="61"/>
      <c r="K57" s="5"/>
      <c r="L57" s="99" t="s">
        <v>165</v>
      </c>
      <c r="M57" s="100"/>
      <c r="N57" s="100"/>
      <c r="O57" s="101"/>
    </row>
    <row r="58" spans="2:15" ht="15">
      <c r="B58" s="91" t="s">
        <v>166</v>
      </c>
      <c r="C58" s="14"/>
      <c r="D58" s="13">
        <f>COS(D57)</f>
        <v>0.5253219975606201</v>
      </c>
      <c r="E58" s="20"/>
      <c r="F58" s="5"/>
      <c r="G58" s="62" t="s">
        <v>167</v>
      </c>
      <c r="H58" s="10"/>
      <c r="I58" s="10">
        <v>1</v>
      </c>
      <c r="J58" s="11"/>
      <c r="K58" s="5"/>
      <c r="L58" s="102" t="s">
        <v>168</v>
      </c>
      <c r="M58" s="103">
        <v>4</v>
      </c>
      <c r="N58" s="103" t="s">
        <v>169</v>
      </c>
      <c r="O58" s="74"/>
    </row>
    <row r="59" spans="2:15" ht="15">
      <c r="B59" s="104" t="s">
        <v>170</v>
      </c>
      <c r="C59" s="105"/>
      <c r="D59" s="105">
        <f>SUM(D55/50)</f>
        <v>0.01414213562373095</v>
      </c>
      <c r="E59" s="105"/>
      <c r="F59" s="5"/>
      <c r="G59" s="62" t="s">
        <v>171</v>
      </c>
      <c r="H59" s="10"/>
      <c r="I59" s="10">
        <v>20</v>
      </c>
      <c r="J59" s="11" t="s">
        <v>172</v>
      </c>
      <c r="K59" s="5"/>
      <c r="L59" s="102" t="s">
        <v>173</v>
      </c>
      <c r="M59" s="103">
        <v>2.4</v>
      </c>
      <c r="N59" s="103" t="s">
        <v>169</v>
      </c>
      <c r="O59" s="74"/>
    </row>
    <row r="60" spans="2:15" ht="15">
      <c r="B60" s="104" t="s">
        <v>174</v>
      </c>
      <c r="C60" s="105"/>
      <c r="D60" s="105">
        <f>SUM(50/D55)</f>
        <v>70.71067811865474</v>
      </c>
      <c r="E60" s="105"/>
      <c r="F60" s="5"/>
      <c r="G60" s="62" t="s">
        <v>175</v>
      </c>
      <c r="H60" s="10"/>
      <c r="I60" s="10">
        <v>0.02</v>
      </c>
      <c r="J60" s="11" t="s">
        <v>176</v>
      </c>
      <c r="K60" s="5"/>
      <c r="L60" s="102" t="s">
        <v>177</v>
      </c>
      <c r="M60" s="103">
        <v>1000</v>
      </c>
      <c r="N60" s="103" t="s">
        <v>66</v>
      </c>
      <c r="O60" s="74"/>
    </row>
    <row r="61" spans="2:15" ht="15">
      <c r="B61" s="106"/>
      <c r="C61" s="32"/>
      <c r="D61" s="32"/>
      <c r="E61" s="32"/>
      <c r="F61" s="107"/>
      <c r="G61" s="65" t="s">
        <v>178</v>
      </c>
      <c r="H61" s="17"/>
      <c r="I61" s="17">
        <f>SUM((0.0885)*((I58)*(I59))/(I60))</f>
        <v>88.5</v>
      </c>
      <c r="J61" s="18" t="s">
        <v>43</v>
      </c>
      <c r="K61" s="5"/>
      <c r="L61" s="108" t="s">
        <v>179</v>
      </c>
      <c r="M61" s="109">
        <f>((M58-M59)-1)*M60</f>
        <v>600.0000000000001</v>
      </c>
      <c r="N61" s="109" t="s">
        <v>66</v>
      </c>
      <c r="O61" s="94"/>
    </row>
    <row r="62" spans="2:11" ht="15">
      <c r="B62" s="110" t="s">
        <v>180</v>
      </c>
      <c r="C62" s="110"/>
      <c r="D62" s="110"/>
      <c r="E62" s="110"/>
      <c r="F62" s="111"/>
      <c r="G62" s="32"/>
      <c r="H62" s="32"/>
      <c r="I62" s="32"/>
      <c r="J62" s="32"/>
      <c r="K62" s="20"/>
    </row>
    <row r="63" spans="2:11" ht="15">
      <c r="B63" s="112" t="s">
        <v>181</v>
      </c>
      <c r="C63" s="95"/>
      <c r="D63" s="10">
        <v>1</v>
      </c>
      <c r="E63" s="10" t="s">
        <v>182</v>
      </c>
      <c r="F63" s="111"/>
      <c r="G63" s="4" t="s">
        <v>183</v>
      </c>
      <c r="H63" s="4"/>
      <c r="I63" s="4"/>
      <c r="J63" s="4"/>
      <c r="K63" s="5"/>
    </row>
    <row r="64" spans="2:11" ht="15">
      <c r="B64" s="112" t="s">
        <v>184</v>
      </c>
      <c r="C64" s="95"/>
      <c r="D64" s="10">
        <v>3</v>
      </c>
      <c r="E64" s="10" t="s">
        <v>182</v>
      </c>
      <c r="F64" s="111"/>
      <c r="G64" s="32"/>
      <c r="H64" s="32"/>
      <c r="I64" s="32"/>
      <c r="J64" s="32"/>
      <c r="K64" s="20"/>
    </row>
    <row r="65" spans="2:11" ht="15">
      <c r="B65" s="113" t="s">
        <v>185</v>
      </c>
      <c r="C65" s="96"/>
      <c r="D65" s="14">
        <f>SUM(138)*LOG10(D64/D63)</f>
        <v>65.84273315131341</v>
      </c>
      <c r="E65" s="14" t="s">
        <v>11</v>
      </c>
      <c r="F65" s="111"/>
      <c r="G65" s="4" t="s">
        <v>186</v>
      </c>
      <c r="H65" s="4"/>
      <c r="I65" s="4"/>
      <c r="J65" s="4"/>
      <c r="K65" s="5"/>
    </row>
    <row r="66" spans="2:11" ht="15">
      <c r="B66" s="114"/>
      <c r="C66" s="114"/>
      <c r="D66" s="114"/>
      <c r="E66" s="114"/>
      <c r="F66" s="107"/>
      <c r="G66" s="8" t="s">
        <v>187</v>
      </c>
      <c r="H66" s="63"/>
      <c r="I66" s="115">
        <v>18</v>
      </c>
      <c r="J66" s="63" t="s">
        <v>188</v>
      </c>
      <c r="K66" s="5"/>
    </row>
    <row r="67" spans="2:11" ht="15">
      <c r="B67" s="4" t="s">
        <v>189</v>
      </c>
      <c r="C67" s="4"/>
      <c r="D67" s="4"/>
      <c r="E67" s="4"/>
      <c r="F67" s="5"/>
      <c r="G67" s="8" t="s">
        <v>190</v>
      </c>
      <c r="H67" s="63"/>
      <c r="I67" s="115">
        <v>22</v>
      </c>
      <c r="J67" s="63" t="s">
        <v>182</v>
      </c>
      <c r="K67" s="5"/>
    </row>
    <row r="68" spans="2:11" ht="16.5">
      <c r="B68" s="8" t="s">
        <v>191</v>
      </c>
      <c r="C68" s="9"/>
      <c r="D68" s="10">
        <v>75</v>
      </c>
      <c r="E68" s="14"/>
      <c r="F68" s="5"/>
      <c r="G68" s="8" t="s">
        <v>192</v>
      </c>
      <c r="H68" s="63"/>
      <c r="I68" s="115">
        <v>18</v>
      </c>
      <c r="J68" s="63" t="s">
        <v>182</v>
      </c>
      <c r="K68" s="5"/>
    </row>
    <row r="69" spans="2:11" ht="16.5">
      <c r="B69" s="8" t="s">
        <v>193</v>
      </c>
      <c r="C69" s="9"/>
      <c r="D69" s="10">
        <v>455</v>
      </c>
      <c r="E69" s="10" t="s">
        <v>194</v>
      </c>
      <c r="F69" s="5"/>
      <c r="G69" s="12" t="s">
        <v>195</v>
      </c>
      <c r="H69" s="69"/>
      <c r="I69" s="116">
        <f>SUM((I67*I67)*(I66*I66))/((457.2*I67)+(1016*I68))</f>
        <v>5.532131064262129</v>
      </c>
      <c r="J69" s="69" t="s">
        <v>196</v>
      </c>
      <c r="K69" s="5"/>
    </row>
    <row r="70" spans="2:11" ht="16.5">
      <c r="B70" s="12" t="s">
        <v>197</v>
      </c>
      <c r="C70" s="13"/>
      <c r="D70" s="14">
        <f>SUM(D69/D68)</f>
        <v>6.066666666666666</v>
      </c>
      <c r="E70" s="14" t="s">
        <v>194</v>
      </c>
      <c r="F70" s="5"/>
      <c r="G70" s="32"/>
      <c r="H70" s="32"/>
      <c r="I70" s="32"/>
      <c r="J70" s="32"/>
      <c r="K70" s="20"/>
    </row>
    <row r="71" spans="2:11" ht="16.5">
      <c r="B71" s="32"/>
      <c r="C71" s="32"/>
      <c r="D71" s="32"/>
      <c r="E71" s="32"/>
      <c r="F71" s="20"/>
      <c r="G71" s="4" t="s">
        <v>198</v>
      </c>
      <c r="H71" s="4"/>
      <c r="I71" s="4"/>
      <c r="J71" s="4"/>
      <c r="K71" s="5"/>
    </row>
    <row r="72" spans="2:11" ht="15" customHeight="1">
      <c r="B72" s="117" t="s">
        <v>199</v>
      </c>
      <c r="C72" s="117"/>
      <c r="D72" s="117"/>
      <c r="E72" s="117"/>
      <c r="F72" s="5"/>
      <c r="G72" s="62" t="s">
        <v>200</v>
      </c>
      <c r="H72" s="10"/>
      <c r="I72" s="10">
        <v>1</v>
      </c>
      <c r="J72" s="10" t="s">
        <v>176</v>
      </c>
      <c r="K72" s="62"/>
    </row>
    <row r="73" spans="2:11" ht="16.5">
      <c r="B73" s="12" t="s">
        <v>201</v>
      </c>
      <c r="C73" s="69"/>
      <c r="D73" s="116">
        <v>0.2</v>
      </c>
      <c r="E73" s="69" t="s">
        <v>66</v>
      </c>
      <c r="F73" s="5"/>
      <c r="G73" s="62" t="s">
        <v>202</v>
      </c>
      <c r="H73" s="10"/>
      <c r="I73" s="10">
        <v>22</v>
      </c>
      <c r="J73" s="10" t="s">
        <v>203</v>
      </c>
      <c r="K73" s="62"/>
    </row>
    <row r="74" spans="2:11" ht="16.5">
      <c r="B74" s="12" t="s">
        <v>204</v>
      </c>
      <c r="C74" s="69"/>
      <c r="D74" s="116">
        <v>6</v>
      </c>
      <c r="E74" s="69"/>
      <c r="F74" s="5"/>
      <c r="G74" s="5" t="s">
        <v>205</v>
      </c>
      <c r="H74" s="20"/>
      <c r="I74" s="20">
        <f>SUM((293*760*I72)/((760)*(I73+273)))</f>
        <v>0.9932203389830508</v>
      </c>
      <c r="J74" s="20"/>
      <c r="K74" s="5"/>
    </row>
    <row r="75" spans="2:11" ht="16.5">
      <c r="B75" s="12" t="s">
        <v>36</v>
      </c>
      <c r="C75" s="69"/>
      <c r="D75" s="116">
        <v>1000</v>
      </c>
      <c r="E75" s="69" t="s">
        <v>19</v>
      </c>
      <c r="F75" s="5"/>
      <c r="G75" s="5" t="s">
        <v>206</v>
      </c>
      <c r="H75" s="20"/>
      <c r="I75" s="20">
        <f>SUM(24.22)*(I74)+(6.08)</f>
        <v>30.135796610169493</v>
      </c>
      <c r="J75" s="20" t="s">
        <v>169</v>
      </c>
      <c r="K75" s="5"/>
    </row>
    <row r="76" spans="2:11" ht="16.5">
      <c r="B76" s="8" t="s">
        <v>207</v>
      </c>
      <c r="C76" s="63"/>
      <c r="D76" s="115">
        <f>SQRT(D75)*(D73*D74)</f>
        <v>37.94733192202056</v>
      </c>
      <c r="E76" s="63" t="s">
        <v>66</v>
      </c>
      <c r="F76" s="5"/>
      <c r="G76" s="91" t="s">
        <v>208</v>
      </c>
      <c r="H76" s="14"/>
      <c r="I76" s="14">
        <f>SQRT(I74)*I75</f>
        <v>30.03346763351463</v>
      </c>
      <c r="J76" s="14" t="s">
        <v>209</v>
      </c>
      <c r="K76" s="91"/>
    </row>
    <row r="77" spans="2:11" ht="16.5">
      <c r="B77" s="32"/>
      <c r="C77" s="32"/>
      <c r="D77" s="32"/>
      <c r="E77" s="32"/>
      <c r="F77" s="20"/>
      <c r="G77" s="32"/>
      <c r="H77" s="32"/>
      <c r="I77" s="32"/>
      <c r="J77" s="32"/>
      <c r="K77" s="20"/>
    </row>
    <row r="78" spans="2:11" ht="16.5">
      <c r="B78" s="4" t="s">
        <v>210</v>
      </c>
      <c r="C78" s="4"/>
      <c r="D78" s="4"/>
      <c r="E78" s="4"/>
      <c r="F78" s="5"/>
      <c r="G78" s="6" t="s">
        <v>211</v>
      </c>
      <c r="H78" s="6"/>
      <c r="I78" s="6"/>
      <c r="J78" s="6"/>
      <c r="K78" s="20"/>
    </row>
    <row r="79" spans="2:11" ht="16.5">
      <c r="B79" s="8" t="s">
        <v>212</v>
      </c>
      <c r="C79" s="63"/>
      <c r="D79" s="115">
        <v>10</v>
      </c>
      <c r="E79" s="63" t="s">
        <v>182</v>
      </c>
      <c r="F79" s="5"/>
      <c r="G79" s="62" t="s">
        <v>213</v>
      </c>
      <c r="H79" s="10"/>
      <c r="I79" s="10">
        <v>3</v>
      </c>
      <c r="J79" s="11" t="s">
        <v>214</v>
      </c>
      <c r="K79" s="20"/>
    </row>
    <row r="80" spans="2:11" ht="16.5">
      <c r="B80" s="12" t="s">
        <v>215</v>
      </c>
      <c r="C80" s="69"/>
      <c r="D80" s="116">
        <f>SUM(124)/(D79*D79)</f>
        <v>1.24</v>
      </c>
      <c r="E80" s="69" t="s">
        <v>19</v>
      </c>
      <c r="F80" s="5"/>
      <c r="G80" s="62" t="s">
        <v>216</v>
      </c>
      <c r="H80" s="10"/>
      <c r="I80" s="10">
        <v>3</v>
      </c>
      <c r="J80" s="11" t="s">
        <v>214</v>
      </c>
      <c r="K80" s="20"/>
    </row>
    <row r="81" spans="2:11" ht="16.5">
      <c r="B81" s="32"/>
      <c r="C81" s="32"/>
      <c r="D81" s="32"/>
      <c r="E81" s="32"/>
      <c r="F81" s="20"/>
      <c r="G81" s="91" t="s">
        <v>217</v>
      </c>
      <c r="H81" s="14"/>
      <c r="I81" s="14">
        <f>SUM(2*I79)+(2*I80)</f>
        <v>12</v>
      </c>
      <c r="J81" s="50" t="s">
        <v>194</v>
      </c>
      <c r="K81" s="20"/>
    </row>
    <row r="82" spans="2:10" ht="15">
      <c r="B82" s="6" t="s">
        <v>218</v>
      </c>
      <c r="C82" s="6"/>
      <c r="D82" s="6"/>
      <c r="E82" s="6"/>
      <c r="G82" s="118" t="s">
        <v>219</v>
      </c>
      <c r="H82" s="119"/>
      <c r="I82" s="119">
        <f>(I80)/(I79)</f>
        <v>1</v>
      </c>
      <c r="J82" s="120"/>
    </row>
    <row r="83" spans="2:5" ht="15">
      <c r="B83" s="62" t="s">
        <v>220</v>
      </c>
      <c r="C83" s="10"/>
      <c r="D83" s="10">
        <v>25</v>
      </c>
      <c r="E83" s="11" t="s">
        <v>221</v>
      </c>
    </row>
    <row r="84" spans="2:10" ht="15">
      <c r="B84" s="62" t="s">
        <v>222</v>
      </c>
      <c r="C84" s="10"/>
      <c r="D84" s="10">
        <v>0.001</v>
      </c>
      <c r="E84" s="11" t="s">
        <v>221</v>
      </c>
      <c r="G84" s="121" t="s">
        <v>223</v>
      </c>
      <c r="H84" s="122"/>
      <c r="I84" s="122"/>
      <c r="J84" s="123"/>
    </row>
    <row r="85" spans="2:10" ht="16.5">
      <c r="B85" s="65" t="s">
        <v>224</v>
      </c>
      <c r="C85" s="17"/>
      <c r="D85" s="17">
        <f>LOG10(D83/D84)*10</f>
        <v>43.979400086720375</v>
      </c>
      <c r="E85" s="18" t="s">
        <v>139</v>
      </c>
      <c r="G85" s="124" t="s">
        <v>225</v>
      </c>
      <c r="H85" s="125">
        <v>5</v>
      </c>
      <c r="I85" s="125"/>
      <c r="J85" s="126"/>
    </row>
    <row r="86" spans="7:10" ht="16.5">
      <c r="G86" s="124" t="s">
        <v>226</v>
      </c>
      <c r="H86" s="125">
        <v>38</v>
      </c>
      <c r="I86" s="125" t="s">
        <v>227</v>
      </c>
      <c r="J86" s="126"/>
    </row>
    <row r="87" spans="2:10" ht="15.75">
      <c r="B87" s="6" t="s">
        <v>228</v>
      </c>
      <c r="C87" s="6"/>
      <c r="D87" s="6"/>
      <c r="E87" s="6"/>
      <c r="G87" s="127" t="s">
        <v>229</v>
      </c>
      <c r="H87" s="128">
        <f>COS(RADIANS(H86))*(H85)</f>
        <v>3.9400537680336094</v>
      </c>
      <c r="I87" s="129" t="s">
        <v>230</v>
      </c>
      <c r="J87" s="130"/>
    </row>
    <row r="88" spans="2:10" ht="15.75">
      <c r="B88" s="62" t="s">
        <v>231</v>
      </c>
      <c r="C88" s="10"/>
      <c r="D88" s="10">
        <v>100</v>
      </c>
      <c r="E88" s="11" t="s">
        <v>232</v>
      </c>
      <c r="G88" s="131" t="s">
        <v>233</v>
      </c>
      <c r="H88" s="132">
        <f>SIN(RADIANS(H86))*H85</f>
        <v>3.0783073766282913</v>
      </c>
      <c r="I88" s="133" t="s">
        <v>230</v>
      </c>
      <c r="J88" s="134"/>
    </row>
    <row r="89" spans="2:5" ht="16.5">
      <c r="B89" s="62" t="s">
        <v>234</v>
      </c>
      <c r="C89" s="10"/>
      <c r="D89" s="10">
        <v>50</v>
      </c>
      <c r="E89" s="11" t="s">
        <v>232</v>
      </c>
    </row>
    <row r="90" spans="2:5" ht="16.5">
      <c r="B90" s="65" t="s">
        <v>224</v>
      </c>
      <c r="C90" s="17"/>
      <c r="D90" s="17">
        <f>LOG10(D88/D89)*20</f>
        <v>6.020599913279624</v>
      </c>
      <c r="E90" s="18" t="s">
        <v>139</v>
      </c>
    </row>
  </sheetData>
  <sheetProtection selectLockedCells="1" selectUnlockedCells="1"/>
  <mergeCells count="41">
    <mergeCell ref="B5:E5"/>
    <mergeCell ref="G5:J5"/>
    <mergeCell ref="L5:O5"/>
    <mergeCell ref="B6:E6"/>
    <mergeCell ref="G12:J12"/>
    <mergeCell ref="L12:O12"/>
    <mergeCell ref="R15:U15"/>
    <mergeCell ref="B17:E17"/>
    <mergeCell ref="G18:J18"/>
    <mergeCell ref="L18:O18"/>
    <mergeCell ref="R20:U20"/>
    <mergeCell ref="B22:E22"/>
    <mergeCell ref="G25:J25"/>
    <mergeCell ref="L25:O25"/>
    <mergeCell ref="B27:E27"/>
    <mergeCell ref="G29:J29"/>
    <mergeCell ref="L30:O30"/>
    <mergeCell ref="L34:M34"/>
    <mergeCell ref="G35:J35"/>
    <mergeCell ref="B37:E37"/>
    <mergeCell ref="L37:O37"/>
    <mergeCell ref="G40:J40"/>
    <mergeCell ref="L41:O41"/>
    <mergeCell ref="B42:E42"/>
    <mergeCell ref="G45:J45"/>
    <mergeCell ref="L45:O45"/>
    <mergeCell ref="B47:E47"/>
    <mergeCell ref="G50:J50"/>
    <mergeCell ref="L50:O50"/>
    <mergeCell ref="B52:E52"/>
    <mergeCell ref="G57:J57"/>
    <mergeCell ref="B62:E62"/>
    <mergeCell ref="G63:J63"/>
    <mergeCell ref="G65:J65"/>
    <mergeCell ref="B67:E67"/>
    <mergeCell ref="G71:J71"/>
    <mergeCell ref="B72:E72"/>
    <mergeCell ref="B78:E78"/>
    <mergeCell ref="G78:J78"/>
    <mergeCell ref="B82:E82"/>
    <mergeCell ref="B87:E87"/>
  </mergeCells>
  <printOptions/>
  <pageMargins left="0.5" right="0.5" top="0.5" bottom="0.5" header="0.5118055555555555" footer="0.5118055555555555"/>
  <pageSetup horizontalDpi="300" verticalDpi="300" orientation="portrait"/>
  <drawing r:id="rId3"/>
  <legacyDrawing r:id="rId2"/>
</worksheet>
</file>

<file path=xl/worksheets/sheet2.xml><?xml version="1.0" encoding="utf-8"?>
<worksheet xmlns="http://schemas.openxmlformats.org/spreadsheetml/2006/main" xmlns:r="http://schemas.openxmlformats.org/officeDocument/2006/relationships">
  <dimension ref="A1:K44"/>
  <sheetViews>
    <sheetView zoomScale="75" zoomScaleNormal="75" workbookViewId="0" topLeftCell="A28">
      <selection activeCell="I37" sqref="I37"/>
    </sheetView>
  </sheetViews>
  <sheetFormatPr defaultColWidth="8.88671875" defaultRowHeight="15"/>
  <cols>
    <col min="1" max="1" width="1.4375" style="1" customWidth="1"/>
    <col min="2" max="16384" width="9.5546875" style="1" customWidth="1"/>
  </cols>
  <sheetData>
    <row r="1" spans="2:11" ht="15.75">
      <c r="B1" s="2" t="s">
        <v>0</v>
      </c>
      <c r="C1" s="2"/>
      <c r="F1" s="2" t="s">
        <v>2</v>
      </c>
      <c r="G1" s="2"/>
      <c r="H1" s="2"/>
      <c r="I1" s="2"/>
      <c r="J1" s="3"/>
      <c r="K1" s="3"/>
    </row>
    <row r="2" spans="2:3" ht="16.5">
      <c r="B2" s="2" t="s">
        <v>235</v>
      </c>
      <c r="C2" s="2"/>
    </row>
    <row r="3" spans="2:3" ht="16.5">
      <c r="B3" s="2" t="s">
        <v>236</v>
      </c>
      <c r="C3" s="2"/>
    </row>
    <row r="4" spans="4:9" ht="15" customHeight="1">
      <c r="D4" s="135" t="s">
        <v>237</v>
      </c>
      <c r="E4" s="135"/>
      <c r="F4" s="135"/>
      <c r="G4" s="135"/>
      <c r="H4" s="135"/>
      <c r="I4" s="136"/>
    </row>
    <row r="5" spans="4:9" ht="16.5">
      <c r="D5" s="137" t="s">
        <v>3</v>
      </c>
      <c r="E5" s="138"/>
      <c r="F5" s="138"/>
      <c r="G5" s="138"/>
      <c r="H5" s="138"/>
      <c r="I5" s="136"/>
    </row>
    <row r="6" spans="4:8" ht="16.5">
      <c r="D6" s="139"/>
      <c r="E6" s="139"/>
      <c r="F6" s="139"/>
      <c r="G6" s="139"/>
      <c r="H6" s="139"/>
    </row>
    <row r="7" spans="2:11" ht="16.5">
      <c r="B7" s="140" t="s">
        <v>238</v>
      </c>
      <c r="C7" s="139"/>
      <c r="D7" s="139"/>
      <c r="E7" s="139"/>
      <c r="F7" s="141"/>
      <c r="G7" s="142" t="s">
        <v>239</v>
      </c>
      <c r="H7" s="142"/>
      <c r="I7" s="142"/>
      <c r="J7" s="142"/>
      <c r="K7" s="136"/>
    </row>
    <row r="8" spans="2:11" ht="16.5">
      <c r="B8" s="143" t="s">
        <v>240</v>
      </c>
      <c r="C8" s="144"/>
      <c r="D8" s="145">
        <v>10</v>
      </c>
      <c r="E8" s="146" t="s">
        <v>241</v>
      </c>
      <c r="F8" s="141"/>
      <c r="G8" s="147" t="s">
        <v>242</v>
      </c>
      <c r="H8" s="25"/>
      <c r="I8" s="145">
        <v>7.07005</v>
      </c>
      <c r="J8" s="2" t="s">
        <v>169</v>
      </c>
      <c r="K8" s="136"/>
    </row>
    <row r="9" spans="2:11" ht="16.5">
      <c r="B9" s="148" t="s">
        <v>243</v>
      </c>
      <c r="C9" s="149"/>
      <c r="D9" s="150">
        <f>SUM(D8*0.707)</f>
        <v>7.069999999999999</v>
      </c>
      <c r="E9" s="146" t="s">
        <v>169</v>
      </c>
      <c r="F9" s="141"/>
      <c r="G9" s="151" t="s">
        <v>244</v>
      </c>
      <c r="H9" s="28"/>
      <c r="I9" s="150">
        <f>SUM(I8*1.41442)</f>
        <v>10.000020121</v>
      </c>
      <c r="J9" s="2" t="s">
        <v>245</v>
      </c>
      <c r="K9" s="136"/>
    </row>
    <row r="10" spans="2:10" ht="16.5">
      <c r="B10" s="152"/>
      <c r="C10" s="152"/>
      <c r="D10" s="152"/>
      <c r="E10" s="152"/>
      <c r="G10" s="152"/>
      <c r="H10" s="152"/>
      <c r="I10" s="152"/>
      <c r="J10" s="152"/>
    </row>
    <row r="11" spans="2:11" ht="16.5">
      <c r="B11" s="153" t="s">
        <v>246</v>
      </c>
      <c r="C11" s="154"/>
      <c r="D11" s="154"/>
      <c r="E11" s="154"/>
      <c r="F11" s="136"/>
      <c r="G11" s="153" t="s">
        <v>247</v>
      </c>
      <c r="H11" s="154"/>
      <c r="I11" s="154"/>
      <c r="J11" s="154"/>
      <c r="K11" s="136"/>
    </row>
    <row r="12" spans="2:11" ht="16.5">
      <c r="B12" s="155" t="s">
        <v>248</v>
      </c>
      <c r="C12" s="25"/>
      <c r="D12" s="25">
        <v>10</v>
      </c>
      <c r="E12" s="25" t="s">
        <v>83</v>
      </c>
      <c r="F12" s="136"/>
      <c r="G12" s="155" t="s">
        <v>248</v>
      </c>
      <c r="H12" s="25"/>
      <c r="I12" s="25">
        <v>10</v>
      </c>
      <c r="J12" s="25" t="s">
        <v>83</v>
      </c>
      <c r="K12" s="136"/>
    </row>
    <row r="13" spans="2:11" ht="16.5">
      <c r="B13" s="155" t="s">
        <v>249</v>
      </c>
      <c r="C13" s="25"/>
      <c r="D13" s="25">
        <v>10</v>
      </c>
      <c r="E13" s="25" t="s">
        <v>250</v>
      </c>
      <c r="F13" s="136"/>
      <c r="G13" s="155" t="s">
        <v>251</v>
      </c>
      <c r="H13" s="25"/>
      <c r="I13" s="25">
        <v>10</v>
      </c>
      <c r="J13" s="25" t="s">
        <v>230</v>
      </c>
      <c r="K13" s="136"/>
    </row>
    <row r="14" spans="2:11" ht="16.5">
      <c r="B14" s="27" t="s">
        <v>252</v>
      </c>
      <c r="C14" s="28"/>
      <c r="D14" s="28">
        <f>SUM(D12)/(D13*D13)</f>
        <v>0.1</v>
      </c>
      <c r="E14" s="28" t="s">
        <v>66</v>
      </c>
      <c r="F14" s="136"/>
      <c r="G14" s="27" t="s">
        <v>253</v>
      </c>
      <c r="H14" s="28"/>
      <c r="I14" s="28">
        <f>SQRT(I12/I13)</f>
        <v>1</v>
      </c>
      <c r="J14" s="28" t="s">
        <v>254</v>
      </c>
      <c r="K14" s="136"/>
    </row>
    <row r="15" spans="2:11" ht="16.5">
      <c r="B15" s="136"/>
      <c r="F15" s="136"/>
      <c r="G15" s="136"/>
      <c r="K15" s="136"/>
    </row>
    <row r="16" spans="2:11" ht="16.5">
      <c r="B16" s="156" t="s">
        <v>255</v>
      </c>
      <c r="C16" s="2"/>
      <c r="D16" s="2"/>
      <c r="E16" s="2"/>
      <c r="F16" s="136"/>
      <c r="G16" s="141" t="s">
        <v>256</v>
      </c>
      <c r="H16" s="2"/>
      <c r="I16" s="2"/>
      <c r="J16" s="2"/>
      <c r="K16" s="136"/>
    </row>
    <row r="17" spans="2:11" ht="16.5">
      <c r="B17" s="155" t="s">
        <v>257</v>
      </c>
      <c r="C17" s="25"/>
      <c r="D17" s="25">
        <v>0.5</v>
      </c>
      <c r="E17" s="25" t="s">
        <v>93</v>
      </c>
      <c r="F17" s="136"/>
      <c r="G17" s="155" t="s">
        <v>257</v>
      </c>
      <c r="H17" s="25"/>
      <c r="I17" s="25">
        <v>13.8</v>
      </c>
      <c r="J17" s="25" t="s">
        <v>93</v>
      </c>
      <c r="K17" s="136"/>
    </row>
    <row r="18" spans="2:11" ht="16.5">
      <c r="B18" s="155" t="s">
        <v>258</v>
      </c>
      <c r="C18" s="25"/>
      <c r="D18" s="25">
        <v>10</v>
      </c>
      <c r="E18" s="25" t="s">
        <v>83</v>
      </c>
      <c r="F18" s="136"/>
      <c r="G18" s="155" t="s">
        <v>251</v>
      </c>
      <c r="H18" s="25"/>
      <c r="I18" s="25">
        <v>20</v>
      </c>
      <c r="J18" s="25" t="s">
        <v>230</v>
      </c>
      <c r="K18" s="136"/>
    </row>
    <row r="19" spans="2:11" ht="16.5">
      <c r="B19" s="27" t="s">
        <v>252</v>
      </c>
      <c r="C19" s="28"/>
      <c r="D19" s="28">
        <f>SUM(D17*D17)/(D18)</f>
        <v>0.025</v>
      </c>
      <c r="E19" s="28" t="s">
        <v>230</v>
      </c>
      <c r="F19" s="136"/>
      <c r="G19" s="27" t="s">
        <v>253</v>
      </c>
      <c r="H19" s="28"/>
      <c r="I19" s="28">
        <f>SUM(I17/I18)</f>
        <v>0.6900000000000001</v>
      </c>
      <c r="J19" s="28" t="s">
        <v>250</v>
      </c>
      <c r="K19" s="136"/>
    </row>
    <row r="20" spans="2:11" ht="16.5">
      <c r="B20" s="136"/>
      <c r="F20" s="136"/>
      <c r="G20" s="136"/>
      <c r="K20" s="136"/>
    </row>
    <row r="21" spans="2:11" ht="16.5">
      <c r="B21" s="156" t="s">
        <v>259</v>
      </c>
      <c r="C21" s="2"/>
      <c r="D21" s="2"/>
      <c r="E21" s="2"/>
      <c r="F21" s="136"/>
      <c r="G21" s="156" t="s">
        <v>260</v>
      </c>
      <c r="H21" s="2"/>
      <c r="I21" s="2"/>
      <c r="J21" s="2"/>
      <c r="K21" s="136"/>
    </row>
    <row r="22" spans="2:11" ht="16.5">
      <c r="B22" s="155" t="s">
        <v>257</v>
      </c>
      <c r="C22" s="25"/>
      <c r="D22" s="25">
        <v>0.5</v>
      </c>
      <c r="E22" s="25" t="s">
        <v>93</v>
      </c>
      <c r="F22" s="136"/>
      <c r="G22" s="155" t="s">
        <v>258</v>
      </c>
      <c r="H22" s="25"/>
      <c r="I22" s="25">
        <v>100</v>
      </c>
      <c r="J22" s="25" t="s">
        <v>158</v>
      </c>
      <c r="K22" s="136"/>
    </row>
    <row r="23" spans="2:11" ht="16.5">
      <c r="B23" s="155" t="s">
        <v>249</v>
      </c>
      <c r="C23" s="25"/>
      <c r="D23" s="25">
        <v>0.5</v>
      </c>
      <c r="E23" s="25" t="s">
        <v>97</v>
      </c>
      <c r="F23" s="136"/>
      <c r="G23" s="155" t="s">
        <v>257</v>
      </c>
      <c r="H23" s="25"/>
      <c r="I23" s="25">
        <v>13.8</v>
      </c>
      <c r="J23" s="25" t="s">
        <v>147</v>
      </c>
      <c r="K23" s="136"/>
    </row>
    <row r="24" spans="2:11" ht="16.5">
      <c r="B24" s="27" t="s">
        <v>252</v>
      </c>
      <c r="C24" s="28"/>
      <c r="D24" s="28">
        <f>SUM(D22)/(D23)</f>
        <v>1</v>
      </c>
      <c r="E24" s="28" t="s">
        <v>66</v>
      </c>
      <c r="F24" s="136"/>
      <c r="G24" s="27" t="s">
        <v>253</v>
      </c>
      <c r="H24" s="28"/>
      <c r="I24" s="28">
        <f>SUM(I22/I23)</f>
        <v>7.246376811594202</v>
      </c>
      <c r="J24" s="28" t="s">
        <v>250</v>
      </c>
      <c r="K24" s="136"/>
    </row>
    <row r="25" spans="2:10" ht="16.5">
      <c r="B25" s="152"/>
      <c r="C25" s="152"/>
      <c r="D25" s="152"/>
      <c r="E25" s="152"/>
      <c r="G25" s="152"/>
      <c r="H25" s="152"/>
      <c r="I25" s="152"/>
      <c r="J25" s="152"/>
    </row>
    <row r="26" spans="2:11" ht="16.5">
      <c r="B26" s="140" t="s">
        <v>261</v>
      </c>
      <c r="C26" s="154"/>
      <c r="D26" s="154"/>
      <c r="E26" s="154"/>
      <c r="F26" s="136"/>
      <c r="G26" s="153" t="s">
        <v>262</v>
      </c>
      <c r="H26" s="154"/>
      <c r="I26" s="154"/>
      <c r="J26" s="154"/>
      <c r="K26" s="136"/>
    </row>
    <row r="27" spans="2:11" ht="15">
      <c r="B27" s="155" t="s">
        <v>248</v>
      </c>
      <c r="C27" s="25"/>
      <c r="D27" s="25">
        <v>10</v>
      </c>
      <c r="E27" s="25" t="s">
        <v>83</v>
      </c>
      <c r="F27" s="136"/>
      <c r="G27" s="157" t="s">
        <v>257</v>
      </c>
      <c r="H27" s="25"/>
      <c r="I27" s="25">
        <v>10</v>
      </c>
      <c r="J27" s="25" t="s">
        <v>147</v>
      </c>
      <c r="K27" s="136"/>
    </row>
    <row r="28" spans="2:11" ht="15">
      <c r="B28" s="155" t="s">
        <v>249</v>
      </c>
      <c r="C28" s="25"/>
      <c r="D28" s="25">
        <v>10</v>
      </c>
      <c r="E28" s="25" t="s">
        <v>97</v>
      </c>
      <c r="F28" s="136"/>
      <c r="G28" s="155" t="s">
        <v>249</v>
      </c>
      <c r="H28" s="25"/>
      <c r="I28" s="25">
        <v>18</v>
      </c>
      <c r="J28" s="25" t="s">
        <v>250</v>
      </c>
      <c r="K28" s="136"/>
    </row>
    <row r="29" spans="2:11" ht="15">
      <c r="B29" s="27" t="s">
        <v>263</v>
      </c>
      <c r="C29" s="28"/>
      <c r="D29" s="28">
        <f>SUM(D27)/(D28)</f>
        <v>1</v>
      </c>
      <c r="E29" s="28" t="s">
        <v>93</v>
      </c>
      <c r="F29" s="136"/>
      <c r="G29" s="158" t="s">
        <v>264</v>
      </c>
      <c r="H29" s="28"/>
      <c r="I29" s="28">
        <f>SUM(I28)*(I27)</f>
        <v>180</v>
      </c>
      <c r="J29" s="28" t="s">
        <v>158</v>
      </c>
      <c r="K29" s="136"/>
    </row>
    <row r="30" spans="2:11" ht="15">
      <c r="B30" s="136"/>
      <c r="F30" s="136"/>
      <c r="G30" s="136"/>
      <c r="K30" s="136"/>
    </row>
    <row r="31" spans="2:11" ht="15.75">
      <c r="B31" s="156" t="s">
        <v>265</v>
      </c>
      <c r="C31" s="2"/>
      <c r="D31" s="2"/>
      <c r="F31" s="136"/>
      <c r="G31" s="141" t="s">
        <v>266</v>
      </c>
      <c r="H31" s="2"/>
      <c r="I31" s="2"/>
      <c r="J31" s="2"/>
      <c r="K31" s="136"/>
    </row>
    <row r="32" spans="2:11" ht="15">
      <c r="B32" s="155" t="s">
        <v>249</v>
      </c>
      <c r="C32" s="25"/>
      <c r="D32" s="25">
        <v>10</v>
      </c>
      <c r="E32" s="25" t="s">
        <v>254</v>
      </c>
      <c r="F32" s="136"/>
      <c r="G32" s="155" t="s">
        <v>249</v>
      </c>
      <c r="H32" s="25"/>
      <c r="I32" s="25">
        <v>1</v>
      </c>
      <c r="J32" s="25" t="s">
        <v>267</v>
      </c>
      <c r="K32" s="136"/>
    </row>
    <row r="33" spans="2:11" ht="15">
      <c r="B33" s="155" t="s">
        <v>251</v>
      </c>
      <c r="C33" s="25"/>
      <c r="D33" s="25">
        <v>20</v>
      </c>
      <c r="E33" s="25" t="s">
        <v>230</v>
      </c>
      <c r="F33" s="136"/>
      <c r="G33" s="155" t="s">
        <v>251</v>
      </c>
      <c r="H33" s="25"/>
      <c r="I33" s="25">
        <v>10</v>
      </c>
      <c r="J33" s="25" t="s">
        <v>230</v>
      </c>
      <c r="K33" s="136"/>
    </row>
    <row r="34" spans="2:11" ht="15">
      <c r="B34" s="27" t="s">
        <v>263</v>
      </c>
      <c r="C34" s="28"/>
      <c r="D34" s="28">
        <f>SUM(D32)*(D33)</f>
        <v>200</v>
      </c>
      <c r="E34" s="28" t="s">
        <v>147</v>
      </c>
      <c r="F34" s="136"/>
      <c r="G34" s="27" t="s">
        <v>264</v>
      </c>
      <c r="H34" s="28"/>
      <c r="I34" s="28">
        <f>SUM(I32*I32)*(I33)</f>
        <v>10</v>
      </c>
      <c r="J34" s="28" t="s">
        <v>158</v>
      </c>
      <c r="K34" s="136"/>
    </row>
    <row r="35" spans="2:11" ht="16.5">
      <c r="B35" s="136"/>
      <c r="F35" s="136"/>
      <c r="G35" s="136"/>
      <c r="K35" s="136"/>
    </row>
    <row r="36" spans="2:11" ht="16.5">
      <c r="B36" s="156" t="s">
        <v>268</v>
      </c>
      <c r="C36" s="2"/>
      <c r="D36" s="2"/>
      <c r="E36" s="2"/>
      <c r="F36" s="136"/>
      <c r="G36" s="159" t="s">
        <v>269</v>
      </c>
      <c r="H36" s="160"/>
      <c r="I36" s="160"/>
      <c r="J36" s="160"/>
      <c r="K36" s="136"/>
    </row>
    <row r="37" spans="2:11" ht="16.5">
      <c r="B37" s="155" t="s">
        <v>248</v>
      </c>
      <c r="C37" s="25"/>
      <c r="D37" s="25">
        <v>100</v>
      </c>
      <c r="E37" s="25" t="s">
        <v>221</v>
      </c>
      <c r="F37" s="136"/>
      <c r="G37" s="155" t="s">
        <v>257</v>
      </c>
      <c r="H37" s="25"/>
      <c r="I37" s="25">
        <v>20</v>
      </c>
      <c r="J37" s="25" t="s">
        <v>169</v>
      </c>
      <c r="K37" s="136"/>
    </row>
    <row r="38" spans="2:11" ht="16.5">
      <c r="B38" s="157" t="s">
        <v>270</v>
      </c>
      <c r="C38" s="25"/>
      <c r="D38" s="25">
        <v>2000</v>
      </c>
      <c r="E38" s="25" t="s">
        <v>66</v>
      </c>
      <c r="F38" s="136"/>
      <c r="G38" s="155" t="s">
        <v>251</v>
      </c>
      <c r="H38" s="25"/>
      <c r="I38" s="25">
        <v>20</v>
      </c>
      <c r="J38" s="25" t="s">
        <v>271</v>
      </c>
      <c r="K38" s="136"/>
    </row>
    <row r="39" spans="2:11" ht="16.5">
      <c r="B39" s="27" t="s">
        <v>263</v>
      </c>
      <c r="C39" s="28"/>
      <c r="D39" s="69">
        <f>SQRT(D37*D38)</f>
        <v>447.21359549995793</v>
      </c>
      <c r="E39" s="28" t="s">
        <v>169</v>
      </c>
      <c r="F39" s="136"/>
      <c r="G39" s="27" t="s">
        <v>264</v>
      </c>
      <c r="H39" s="28"/>
      <c r="I39" s="28">
        <f>SUM(I37*I37)/(I38)</f>
        <v>20</v>
      </c>
      <c r="J39" s="28" t="s">
        <v>158</v>
      </c>
      <c r="K39" s="136"/>
    </row>
    <row r="40" spans="2:10" ht="16.5">
      <c r="B40" s="152"/>
      <c r="C40" s="152"/>
      <c r="D40" s="152"/>
      <c r="E40" s="152"/>
      <c r="G40" s="152"/>
      <c r="H40" s="152"/>
      <c r="I40" s="152"/>
      <c r="J40" s="152"/>
    </row>
    <row r="41" ht="16.5">
      <c r="A41" s="136"/>
    </row>
    <row r="42" ht="16.5">
      <c r="A42" s="136"/>
    </row>
    <row r="43" ht="16.5">
      <c r="A43" s="136"/>
    </row>
    <row r="44" ht="16.5">
      <c r="A44" s="136"/>
    </row>
  </sheetData>
  <sheetProtection selectLockedCells="1" selectUnlockedCells="1"/>
  <mergeCells count="2">
    <mergeCell ref="D4:H4"/>
    <mergeCell ref="G7:J7"/>
  </mergeCells>
  <printOptions/>
  <pageMargins left="0.5" right="0.5" top="0.5" bottom="0.5" header="0.5118055555555555" footer="0.5118055555555555"/>
  <pageSetup horizontalDpi="300" verticalDpi="300" orientation="portrait"/>
  <drawing r:id="rId3"/>
  <legacyDrawing r:id="rId2"/>
</worksheet>
</file>

<file path=xl/worksheets/sheet3.xml><?xml version="1.0" encoding="utf-8"?>
<worksheet xmlns="http://schemas.openxmlformats.org/spreadsheetml/2006/main" xmlns:r="http://schemas.openxmlformats.org/officeDocument/2006/relationships">
  <dimension ref="B1:J30"/>
  <sheetViews>
    <sheetView zoomScale="75" zoomScaleNormal="75" workbookViewId="0" topLeftCell="A1">
      <selection activeCell="B2" sqref="B2"/>
    </sheetView>
  </sheetViews>
  <sheetFormatPr defaultColWidth="8.88671875" defaultRowHeight="15"/>
  <cols>
    <col min="1" max="1" width="2.10546875" style="1" customWidth="1"/>
    <col min="2" max="16384" width="9.5546875" style="1" customWidth="1"/>
  </cols>
  <sheetData>
    <row r="1" spans="2:3" ht="16.5">
      <c r="B1" s="2" t="s">
        <v>272</v>
      </c>
      <c r="C1" s="2"/>
    </row>
    <row r="2" spans="2:3" ht="16.5">
      <c r="B2" s="2" t="s">
        <v>235</v>
      </c>
      <c r="C2" s="2"/>
    </row>
    <row r="3" spans="2:3" ht="16.5">
      <c r="B3" s="2" t="s">
        <v>273</v>
      </c>
      <c r="C3" s="2"/>
    </row>
    <row r="4" spans="2:9" ht="16.5">
      <c r="B4" s="161" t="s">
        <v>274</v>
      </c>
      <c r="C4" s="161"/>
      <c r="D4" s="161"/>
      <c r="E4" s="161"/>
      <c r="F4" s="161"/>
      <c r="G4" s="161"/>
      <c r="H4" s="161"/>
      <c r="I4" s="161"/>
    </row>
    <row r="5" spans="2:10" ht="16.5">
      <c r="B5" s="153" t="s">
        <v>275</v>
      </c>
      <c r="C5" s="154"/>
      <c r="D5" s="154"/>
      <c r="E5" s="154"/>
      <c r="F5" s="154"/>
      <c r="G5" s="154"/>
      <c r="H5" s="154"/>
      <c r="I5" s="154"/>
      <c r="J5" s="136"/>
    </row>
    <row r="6" spans="2:10" ht="16.5">
      <c r="B6" s="155" t="s">
        <v>276</v>
      </c>
      <c r="C6" s="25"/>
      <c r="D6" s="25"/>
      <c r="E6" s="25"/>
      <c r="F6" s="25"/>
      <c r="G6" s="25"/>
      <c r="H6" s="25">
        <v>10</v>
      </c>
      <c r="I6" s="25" t="s">
        <v>188</v>
      </c>
      <c r="J6" s="136"/>
    </row>
    <row r="7" spans="2:10" ht="16.5">
      <c r="B7" s="155" t="s">
        <v>277</v>
      </c>
      <c r="C7" s="25"/>
      <c r="D7" s="25"/>
      <c r="E7" s="25"/>
      <c r="F7" s="25"/>
      <c r="G7" s="25"/>
      <c r="H7" s="25">
        <v>160</v>
      </c>
      <c r="I7" s="25" t="s">
        <v>278</v>
      </c>
      <c r="J7" s="136"/>
    </row>
    <row r="8" spans="2:10" ht="16.5">
      <c r="B8" s="27" t="s">
        <v>279</v>
      </c>
      <c r="C8" s="28"/>
      <c r="D8" s="28"/>
      <c r="E8" s="28"/>
      <c r="F8" s="28"/>
      <c r="G8" s="28"/>
      <c r="H8" s="28">
        <f>SUM(H7)*(H6*H6)/10000</f>
        <v>1.6</v>
      </c>
      <c r="I8" s="28" t="s">
        <v>28</v>
      </c>
      <c r="J8" s="136"/>
    </row>
    <row r="9" spans="2:9" ht="16.5">
      <c r="B9" s="152"/>
      <c r="C9" s="152"/>
      <c r="D9" s="152"/>
      <c r="E9" s="152"/>
      <c r="F9" s="152"/>
      <c r="G9" s="152"/>
      <c r="H9" s="152"/>
      <c r="I9" s="152"/>
    </row>
    <row r="10" spans="2:10" ht="16.5">
      <c r="B10" s="153" t="s">
        <v>280</v>
      </c>
      <c r="C10" s="154"/>
      <c r="D10" s="154"/>
      <c r="E10" s="154"/>
      <c r="F10" s="154"/>
      <c r="G10" s="154"/>
      <c r="H10" s="154"/>
      <c r="I10" s="154"/>
      <c r="J10" s="136"/>
    </row>
    <row r="11" spans="2:10" ht="16.5">
      <c r="B11" s="155" t="s">
        <v>281</v>
      </c>
      <c r="C11" s="25"/>
      <c r="D11" s="25"/>
      <c r="E11" s="25"/>
      <c r="F11" s="25"/>
      <c r="G11" s="25"/>
      <c r="H11" s="25">
        <v>30</v>
      </c>
      <c r="I11" s="162" t="s">
        <v>28</v>
      </c>
      <c r="J11" s="136"/>
    </row>
    <row r="12" spans="2:10" ht="16.5">
      <c r="B12" s="155" t="s">
        <v>282</v>
      </c>
      <c r="C12" s="25"/>
      <c r="D12" s="25"/>
      <c r="E12" s="25"/>
      <c r="F12" s="25"/>
      <c r="G12" s="25"/>
      <c r="H12" s="25">
        <v>952</v>
      </c>
      <c r="I12" s="162" t="s">
        <v>278</v>
      </c>
      <c r="J12" s="136"/>
    </row>
    <row r="13" spans="2:10" ht="16.5">
      <c r="B13" s="27" t="s">
        <v>283</v>
      </c>
      <c r="C13" s="28"/>
      <c r="D13" s="28"/>
      <c r="E13" s="28"/>
      <c r="F13" s="28"/>
      <c r="G13" s="28"/>
      <c r="H13" s="28">
        <f>SUM(100000)*((H11/H12)*(H11/H12))</f>
        <v>99.30442765341431</v>
      </c>
      <c r="I13" s="28" t="s">
        <v>188</v>
      </c>
      <c r="J13" s="136"/>
    </row>
    <row r="14" spans="2:9" ht="16.5">
      <c r="B14" s="152"/>
      <c r="C14" s="152"/>
      <c r="D14" s="152"/>
      <c r="E14" s="152"/>
      <c r="F14" s="152"/>
      <c r="G14" s="152"/>
      <c r="H14" s="152"/>
      <c r="I14" s="152"/>
    </row>
    <row r="15" spans="2:10" ht="16.5">
      <c r="B15" s="153" t="s">
        <v>284</v>
      </c>
      <c r="C15" s="154"/>
      <c r="D15" s="154"/>
      <c r="E15" s="154"/>
      <c r="F15" s="154"/>
      <c r="G15" s="154"/>
      <c r="H15" s="154"/>
      <c r="I15" s="154"/>
      <c r="J15" s="136"/>
    </row>
    <row r="16" spans="2:10" ht="16.5">
      <c r="B16" s="155" t="s">
        <v>285</v>
      </c>
      <c r="C16" s="25"/>
      <c r="D16" s="25"/>
      <c r="E16" s="25"/>
      <c r="F16" s="25"/>
      <c r="G16" s="25"/>
      <c r="H16" s="25">
        <v>952</v>
      </c>
      <c r="I16" s="25" t="s">
        <v>278</v>
      </c>
      <c r="J16" s="136"/>
    </row>
    <row r="17" spans="2:10" ht="16.5">
      <c r="B17" s="155" t="s">
        <v>187</v>
      </c>
      <c r="C17" s="25"/>
      <c r="D17" s="25"/>
      <c r="E17" s="25"/>
      <c r="F17" s="25"/>
      <c r="G17" s="25"/>
      <c r="H17" s="25">
        <v>10</v>
      </c>
      <c r="I17" s="25" t="s">
        <v>188</v>
      </c>
      <c r="J17" s="136"/>
    </row>
    <row r="18" spans="2:10" ht="16.5">
      <c r="B18" s="27" t="s">
        <v>286</v>
      </c>
      <c r="C18" s="28"/>
      <c r="D18" s="28"/>
      <c r="E18" s="28"/>
      <c r="F18" s="28"/>
      <c r="G18" s="28"/>
      <c r="H18" s="28">
        <f>SUM(H16)*(H17*H17)/1000000</f>
        <v>0.0952</v>
      </c>
      <c r="I18" s="28" t="s">
        <v>287</v>
      </c>
      <c r="J18" s="136"/>
    </row>
    <row r="19" spans="2:9" ht="16.5">
      <c r="B19" s="152"/>
      <c r="C19" s="152"/>
      <c r="D19" s="152"/>
      <c r="E19" s="152"/>
      <c r="F19" s="152"/>
      <c r="G19" s="152"/>
      <c r="H19" s="152"/>
      <c r="I19" s="152"/>
    </row>
    <row r="20" spans="2:10" ht="16.5">
      <c r="B20" s="153" t="s">
        <v>288</v>
      </c>
      <c r="C20" s="154"/>
      <c r="D20" s="154"/>
      <c r="E20" s="154"/>
      <c r="F20" s="154"/>
      <c r="G20" s="154"/>
      <c r="H20" s="154"/>
      <c r="I20" s="154"/>
      <c r="J20" s="136"/>
    </row>
    <row r="21" spans="2:10" ht="16.5">
      <c r="B21" s="155" t="s">
        <v>289</v>
      </c>
      <c r="C21" s="25"/>
      <c r="D21" s="25"/>
      <c r="E21" s="25"/>
      <c r="F21" s="25"/>
      <c r="G21" s="25"/>
      <c r="H21" s="25">
        <v>1240</v>
      </c>
      <c r="I21" s="25" t="s">
        <v>278</v>
      </c>
      <c r="J21" s="136"/>
    </row>
    <row r="22" spans="2:10" ht="16.5">
      <c r="B22" s="155" t="s">
        <v>281</v>
      </c>
      <c r="C22" s="25"/>
      <c r="D22" s="25"/>
      <c r="E22" s="25"/>
      <c r="F22" s="25"/>
      <c r="G22" s="25"/>
      <c r="H22" s="25">
        <v>0.176</v>
      </c>
      <c r="I22" s="25" t="s">
        <v>287</v>
      </c>
      <c r="J22" s="136"/>
    </row>
    <row r="23" spans="2:10" ht="16.5">
      <c r="B23" s="27" t="s">
        <v>290</v>
      </c>
      <c r="C23" s="28"/>
      <c r="D23" s="28"/>
      <c r="E23" s="28"/>
      <c r="F23" s="28"/>
      <c r="G23" s="28"/>
      <c r="H23" s="28">
        <f>SUM(1000000000)*((H22/H21)*(H22/H21))</f>
        <v>20.14568158168574</v>
      </c>
      <c r="I23" s="28" t="s">
        <v>188</v>
      </c>
      <c r="J23" s="136"/>
    </row>
    <row r="24" spans="2:9" ht="16.5">
      <c r="B24" s="152"/>
      <c r="C24" s="152"/>
      <c r="D24" s="152"/>
      <c r="E24" s="152"/>
      <c r="F24" s="152"/>
      <c r="G24" s="152"/>
      <c r="H24" s="152"/>
      <c r="I24" s="152"/>
    </row>
    <row r="25" spans="2:10" ht="16.5">
      <c r="B25" s="153" t="s">
        <v>291</v>
      </c>
      <c r="C25" s="154"/>
      <c r="D25" s="154"/>
      <c r="E25" s="154"/>
      <c r="F25" s="154"/>
      <c r="G25" s="154"/>
      <c r="H25" s="154"/>
      <c r="I25" s="154"/>
      <c r="J25" s="136"/>
    </row>
    <row r="26" spans="2:10" ht="16.5">
      <c r="B26" s="155" t="s">
        <v>292</v>
      </c>
      <c r="C26" s="25"/>
      <c r="D26" s="25"/>
      <c r="E26" s="25"/>
      <c r="F26" s="25"/>
      <c r="G26" s="25"/>
      <c r="H26" s="25">
        <v>10</v>
      </c>
      <c r="I26" s="25" t="s">
        <v>188</v>
      </c>
      <c r="J26" s="136"/>
    </row>
    <row r="27" spans="2:10" ht="16.5">
      <c r="B27" s="155" t="s">
        <v>293</v>
      </c>
      <c r="C27" s="25"/>
      <c r="D27" s="25"/>
      <c r="E27" s="25"/>
      <c r="F27" s="25"/>
      <c r="G27" s="25"/>
      <c r="H27" s="25">
        <v>160</v>
      </c>
      <c r="I27" s="25" t="s">
        <v>294</v>
      </c>
      <c r="J27" s="136"/>
    </row>
    <row r="28" spans="2:10" ht="16.5">
      <c r="B28" s="155" t="s">
        <v>295</v>
      </c>
      <c r="C28" s="25"/>
      <c r="D28" s="25"/>
      <c r="E28" s="25"/>
      <c r="F28" s="25"/>
      <c r="G28" s="25"/>
      <c r="H28" s="25">
        <v>200</v>
      </c>
      <c r="I28" s="25" t="s">
        <v>296</v>
      </c>
      <c r="J28" s="136"/>
    </row>
    <row r="29" spans="2:10" ht="16.5">
      <c r="B29" s="27" t="s">
        <v>297</v>
      </c>
      <c r="C29" s="28"/>
      <c r="D29" s="28"/>
      <c r="E29" s="28"/>
      <c r="F29" s="28"/>
      <c r="G29" s="28"/>
      <c r="H29" s="28">
        <f>SUM((H26)*(H27/H28)*(H27/H28))</f>
        <v>6.4</v>
      </c>
      <c r="I29" s="28" t="s">
        <v>188</v>
      </c>
      <c r="J29" s="136"/>
    </row>
    <row r="30" spans="2:9" ht="16.5">
      <c r="B30" s="152"/>
      <c r="C30" s="152"/>
      <c r="D30" s="152"/>
      <c r="E30" s="152"/>
      <c r="F30" s="152"/>
      <c r="G30" s="152"/>
      <c r="H30" s="152"/>
      <c r="I30" s="152"/>
    </row>
  </sheetData>
  <sheetProtection selectLockedCells="1" selectUnlockedCells="1"/>
  <mergeCells count="1">
    <mergeCell ref="B4:I4"/>
  </mergeCells>
  <printOptions/>
  <pageMargins left="0.5" right="0.5" top="0.5" bottom="0.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N98"/>
  <sheetViews>
    <sheetView zoomScale="75" zoomScaleNormal="75" workbookViewId="0" topLeftCell="A3">
      <selection activeCell="C8" sqref="C8"/>
    </sheetView>
  </sheetViews>
  <sheetFormatPr defaultColWidth="7.99609375" defaultRowHeight="15"/>
  <cols>
    <col min="1" max="16384" width="8.88671875" style="0" customWidth="1"/>
  </cols>
  <sheetData>
    <row r="1" spans="1:11" ht="16.5">
      <c r="A1" s="163" t="s">
        <v>0</v>
      </c>
      <c r="B1" s="163"/>
      <c r="C1" s="163"/>
      <c r="D1" s="163"/>
      <c r="E1" s="163"/>
      <c r="F1" s="164"/>
      <c r="G1" s="164"/>
      <c r="H1" s="164"/>
      <c r="I1" s="164"/>
      <c r="J1" s="164"/>
      <c r="K1" s="164"/>
    </row>
    <row r="2" spans="1:11" ht="16.5">
      <c r="A2" s="163" t="s">
        <v>235</v>
      </c>
      <c r="B2" s="163"/>
      <c r="C2" s="163"/>
      <c r="D2" s="163"/>
      <c r="E2" s="163"/>
      <c r="F2" s="164"/>
      <c r="G2" s="164"/>
      <c r="H2" s="164"/>
      <c r="I2" s="164"/>
      <c r="J2" s="164"/>
      <c r="K2" s="164"/>
    </row>
    <row r="3" spans="1:11" ht="16.5">
      <c r="A3" s="163" t="s">
        <v>298</v>
      </c>
      <c r="B3" s="163"/>
      <c r="C3" s="163"/>
      <c r="D3" s="163"/>
      <c r="E3" s="163"/>
      <c r="F3" s="164"/>
      <c r="G3" s="164"/>
      <c r="H3" s="164"/>
      <c r="I3" s="164"/>
      <c r="J3" s="164"/>
      <c r="K3" s="164"/>
    </row>
    <row r="4" spans="1:11" ht="16.5">
      <c r="A4" s="164"/>
      <c r="B4" s="164"/>
      <c r="C4" s="164"/>
      <c r="D4" s="164"/>
      <c r="E4" s="164"/>
      <c r="F4" s="164"/>
      <c r="G4" s="164"/>
      <c r="H4" s="164"/>
      <c r="I4" s="164"/>
      <c r="J4" s="164"/>
      <c r="K4" s="164"/>
    </row>
    <row r="5" spans="1:11" ht="16.5">
      <c r="A5" s="164" t="s">
        <v>299</v>
      </c>
      <c r="B5" s="164"/>
      <c r="C5" s="164"/>
      <c r="D5" s="164"/>
      <c r="E5" s="164"/>
      <c r="F5" s="164"/>
      <c r="G5" s="164"/>
      <c r="H5" s="164"/>
      <c r="I5" s="164"/>
      <c r="J5" s="164"/>
      <c r="K5" s="164"/>
    </row>
    <row r="6" spans="1:11" ht="16.5">
      <c r="A6" s="164"/>
      <c r="B6" s="164"/>
      <c r="C6" s="164"/>
      <c r="D6" s="164"/>
      <c r="E6" s="164"/>
      <c r="F6" s="164"/>
      <c r="G6" s="164"/>
      <c r="H6" s="164"/>
      <c r="I6" s="164"/>
      <c r="J6" s="164"/>
      <c r="K6" s="164"/>
    </row>
    <row r="7" spans="1:11" ht="16.5">
      <c r="A7" s="164" t="s">
        <v>300</v>
      </c>
      <c r="B7" s="164"/>
      <c r="C7" s="165" t="s">
        <v>301</v>
      </c>
      <c r="D7" s="164"/>
      <c r="E7" s="164"/>
      <c r="F7" s="164"/>
      <c r="G7" s="164"/>
      <c r="H7" s="164"/>
      <c r="I7" s="164"/>
      <c r="J7" s="164"/>
      <c r="K7" s="164"/>
    </row>
    <row r="8" spans="1:11" ht="13.5" customHeight="1">
      <c r="A8" s="164"/>
      <c r="B8" s="164"/>
      <c r="C8" s="165"/>
      <c r="D8" s="164"/>
      <c r="E8" s="164"/>
      <c r="F8" s="164"/>
      <c r="G8" s="164"/>
      <c r="H8" s="164"/>
      <c r="I8" s="164"/>
      <c r="J8" s="164"/>
      <c r="K8" s="164"/>
    </row>
    <row r="9" spans="1:11" ht="16.5">
      <c r="A9" s="164"/>
      <c r="B9" s="164"/>
      <c r="C9" s="164"/>
      <c r="D9" s="164"/>
      <c r="E9" s="164"/>
      <c r="F9" s="164"/>
      <c r="G9" s="164"/>
      <c r="H9" s="164"/>
      <c r="I9" s="164"/>
      <c r="J9" s="164"/>
      <c r="K9" s="164"/>
    </row>
    <row r="10" spans="1:11" ht="16.5">
      <c r="A10" s="166"/>
      <c r="B10" s="166"/>
      <c r="C10" s="166"/>
      <c r="D10" s="166"/>
      <c r="E10" s="166"/>
      <c r="F10" s="166"/>
      <c r="G10" s="164"/>
      <c r="H10" s="164"/>
      <c r="I10" s="164"/>
      <c r="J10" s="164"/>
      <c r="K10" s="164"/>
    </row>
    <row r="11" spans="1:11" ht="16.5">
      <c r="A11" s="166" t="s">
        <v>302</v>
      </c>
      <c r="B11" s="166"/>
      <c r="C11" s="166"/>
      <c r="D11" s="166"/>
      <c r="E11" s="166"/>
      <c r="F11" s="166"/>
      <c r="G11" s="164"/>
      <c r="H11" s="164"/>
      <c r="I11" s="164"/>
      <c r="J11" s="164"/>
      <c r="K11" s="164"/>
    </row>
    <row r="12" spans="1:11" ht="16.5">
      <c r="A12" s="166"/>
      <c r="B12" s="166"/>
      <c r="C12" s="166"/>
      <c r="D12" s="166"/>
      <c r="E12" s="166"/>
      <c r="F12" s="166"/>
      <c r="G12" s="164"/>
      <c r="H12" s="164"/>
      <c r="I12" s="164"/>
      <c r="J12" s="164"/>
      <c r="K12" s="164"/>
    </row>
    <row r="13" spans="1:11" ht="16.5">
      <c r="A13" s="166" t="s">
        <v>303</v>
      </c>
      <c r="B13" s="166"/>
      <c r="C13" s="166"/>
      <c r="D13" s="166"/>
      <c r="E13" s="166"/>
      <c r="F13" s="166"/>
      <c r="G13" s="164"/>
      <c r="H13" s="164"/>
      <c r="I13" s="164"/>
      <c r="J13" s="164"/>
      <c r="K13" s="164"/>
    </row>
    <row r="14" spans="1:11" ht="16.5">
      <c r="A14" s="166" t="s">
        <v>304</v>
      </c>
      <c r="B14" s="166"/>
      <c r="C14" s="166"/>
      <c r="D14" s="166"/>
      <c r="E14" s="166"/>
      <c r="F14" s="166"/>
      <c r="G14" s="164"/>
      <c r="H14" s="164"/>
      <c r="I14" s="164"/>
      <c r="J14" s="164"/>
      <c r="K14" s="164"/>
    </row>
    <row r="15" spans="1:11" ht="16.5">
      <c r="A15" s="166" t="s">
        <v>305</v>
      </c>
      <c r="B15" s="166"/>
      <c r="C15" s="166"/>
      <c r="D15" s="166"/>
      <c r="E15" s="166"/>
      <c r="F15" s="166"/>
      <c r="G15" s="164"/>
      <c r="H15" s="164"/>
      <c r="I15" s="164"/>
      <c r="J15" s="164"/>
      <c r="K15" s="164"/>
    </row>
    <row r="16" spans="1:11" ht="16.5">
      <c r="A16" s="166" t="s">
        <v>306</v>
      </c>
      <c r="B16" s="166"/>
      <c r="C16" s="166"/>
      <c r="D16" s="166"/>
      <c r="E16" s="166"/>
      <c r="F16" s="166"/>
      <c r="G16" s="164"/>
      <c r="H16" s="164"/>
      <c r="I16" s="164"/>
      <c r="J16" s="164"/>
      <c r="K16" s="164"/>
    </row>
    <row r="17" spans="1:11" ht="16.5">
      <c r="A17" s="166" t="s">
        <v>307</v>
      </c>
      <c r="B17" s="166"/>
      <c r="C17" s="166"/>
      <c r="D17" s="166"/>
      <c r="E17" s="166"/>
      <c r="F17" s="166"/>
      <c r="G17" s="164"/>
      <c r="H17" s="164"/>
      <c r="I17" s="164"/>
      <c r="J17" s="164"/>
      <c r="K17" s="164"/>
    </row>
    <row r="18" spans="1:11" ht="16.5">
      <c r="A18" s="166" t="s">
        <v>308</v>
      </c>
      <c r="B18" s="166"/>
      <c r="C18" s="166"/>
      <c r="D18" s="166"/>
      <c r="E18" s="166"/>
      <c r="F18" s="166"/>
      <c r="G18" s="164"/>
      <c r="H18" s="164"/>
      <c r="I18" s="164"/>
      <c r="J18" s="164"/>
      <c r="K18" s="164"/>
    </row>
    <row r="19" spans="1:11" ht="16.5">
      <c r="A19" s="166" t="s">
        <v>309</v>
      </c>
      <c r="B19" s="166"/>
      <c r="C19" s="166"/>
      <c r="D19" s="166"/>
      <c r="E19" s="166"/>
      <c r="F19" s="166"/>
      <c r="G19" s="164"/>
      <c r="H19" s="164"/>
      <c r="I19" s="164"/>
      <c r="J19" s="164"/>
      <c r="K19" s="164"/>
    </row>
    <row r="20" spans="1:11" ht="16.5">
      <c r="A20" s="166" t="s">
        <v>310</v>
      </c>
      <c r="B20" s="166"/>
      <c r="C20" s="166"/>
      <c r="D20" s="166"/>
      <c r="E20" s="166"/>
      <c r="F20" s="166"/>
      <c r="G20" s="164"/>
      <c r="H20" s="164"/>
      <c r="I20" s="164"/>
      <c r="J20" s="164"/>
      <c r="K20" s="164"/>
    </row>
    <row r="21" spans="1:11" ht="16.5">
      <c r="A21" s="166" t="s">
        <v>311</v>
      </c>
      <c r="B21" s="166"/>
      <c r="C21" s="166"/>
      <c r="D21" s="166"/>
      <c r="E21" s="166"/>
      <c r="F21" s="166"/>
      <c r="G21" s="164"/>
      <c r="H21" s="164"/>
      <c r="I21" s="164"/>
      <c r="J21" s="164"/>
      <c r="K21" s="164"/>
    </row>
    <row r="22" spans="1:11" ht="16.5">
      <c r="A22" s="166" t="s">
        <v>312</v>
      </c>
      <c r="B22" s="166"/>
      <c r="C22" s="166"/>
      <c r="D22" s="166"/>
      <c r="E22" s="166"/>
      <c r="F22" s="166"/>
      <c r="G22" s="164"/>
      <c r="H22" s="164"/>
      <c r="I22" s="164"/>
      <c r="J22" s="164"/>
      <c r="K22" s="164"/>
    </row>
    <row r="23" spans="1:11" ht="16.5">
      <c r="A23" s="166" t="s">
        <v>313</v>
      </c>
      <c r="B23" s="166"/>
      <c r="C23" s="166"/>
      <c r="D23" s="166"/>
      <c r="E23" s="166"/>
      <c r="F23" s="166"/>
      <c r="G23" s="164"/>
      <c r="H23" s="164"/>
      <c r="I23" s="164"/>
      <c r="J23" s="164"/>
      <c r="K23" s="164"/>
    </row>
    <row r="24" spans="1:11" ht="16.5">
      <c r="A24" s="166" t="s">
        <v>314</v>
      </c>
      <c r="B24" s="166"/>
      <c r="C24" s="166"/>
      <c r="D24" s="166"/>
      <c r="E24" s="166"/>
      <c r="F24" s="166"/>
      <c r="G24" s="164"/>
      <c r="H24" s="164"/>
      <c r="I24" s="164"/>
      <c r="J24" s="164"/>
      <c r="K24" s="164"/>
    </row>
    <row r="25" spans="1:11" ht="16.5">
      <c r="A25" s="166"/>
      <c r="B25" s="166"/>
      <c r="C25" s="166"/>
      <c r="D25" s="166"/>
      <c r="E25" s="166"/>
      <c r="F25" s="166"/>
      <c r="G25" s="164"/>
      <c r="H25" s="164"/>
      <c r="I25" s="164"/>
      <c r="J25" s="164"/>
      <c r="K25" s="164"/>
    </row>
    <row r="26" spans="1:14" ht="16.5">
      <c r="A26" s="167" t="s">
        <v>315</v>
      </c>
      <c r="B26" s="168"/>
      <c r="C26" s="168"/>
      <c r="D26" s="168"/>
      <c r="E26" s="168"/>
      <c r="F26" s="168"/>
      <c r="G26" s="168"/>
      <c r="H26" s="168"/>
      <c r="I26" s="168"/>
      <c r="J26" s="168"/>
      <c r="K26" s="169"/>
      <c r="L26" s="170"/>
      <c r="M26" s="170"/>
      <c r="N26" s="170"/>
    </row>
    <row r="27" spans="1:14" ht="16.5">
      <c r="A27" s="168" t="s">
        <v>316</v>
      </c>
      <c r="B27" s="168"/>
      <c r="C27" s="168"/>
      <c r="D27" s="168"/>
      <c r="E27" s="168"/>
      <c r="F27" s="168"/>
      <c r="G27" s="168"/>
      <c r="H27" s="168"/>
      <c r="I27" s="168"/>
      <c r="J27" s="168"/>
      <c r="K27" s="169"/>
      <c r="L27" s="170"/>
      <c r="M27" s="170"/>
      <c r="N27" s="170"/>
    </row>
    <row r="28" spans="1:14" ht="16.5">
      <c r="A28" s="168"/>
      <c r="B28" s="168"/>
      <c r="C28" s="168"/>
      <c r="D28" s="168"/>
      <c r="E28" s="168"/>
      <c r="F28" s="168"/>
      <c r="G28" s="168"/>
      <c r="H28" s="168"/>
      <c r="I28" s="168"/>
      <c r="J28" s="168"/>
      <c r="K28" s="169"/>
      <c r="L28" s="170"/>
      <c r="M28" s="170"/>
      <c r="N28" s="170"/>
    </row>
    <row r="29" spans="1:14" ht="16.5">
      <c r="A29" s="171" t="s">
        <v>317</v>
      </c>
      <c r="B29" s="168"/>
      <c r="C29" s="168"/>
      <c r="D29" s="168"/>
      <c r="E29" s="168"/>
      <c r="F29" s="168"/>
      <c r="G29" s="168"/>
      <c r="H29" s="168"/>
      <c r="I29" s="168"/>
      <c r="J29" s="168"/>
      <c r="K29" s="169"/>
      <c r="L29" s="170"/>
      <c r="M29" s="170"/>
      <c r="N29" s="170"/>
    </row>
    <row r="30" spans="1:14" ht="16.5">
      <c r="A30" s="171" t="s">
        <v>318</v>
      </c>
      <c r="B30" s="168"/>
      <c r="C30" s="168"/>
      <c r="D30" s="168"/>
      <c r="E30" s="168"/>
      <c r="F30" s="168"/>
      <c r="G30" s="168"/>
      <c r="H30" s="168"/>
      <c r="I30" s="168"/>
      <c r="J30" s="168"/>
      <c r="K30" s="169"/>
      <c r="L30" s="170"/>
      <c r="M30" s="170"/>
      <c r="N30" s="170"/>
    </row>
    <row r="31" spans="1:14" ht="16.5">
      <c r="A31" s="168"/>
      <c r="B31" s="168"/>
      <c r="C31" s="168"/>
      <c r="D31" s="168"/>
      <c r="E31" s="168"/>
      <c r="F31" s="168"/>
      <c r="G31" s="168"/>
      <c r="H31" s="168"/>
      <c r="I31" s="168"/>
      <c r="J31" s="168"/>
      <c r="K31" s="169"/>
      <c r="L31" s="170"/>
      <c r="M31" s="170"/>
      <c r="N31" s="170"/>
    </row>
    <row r="32" spans="1:14" ht="16.5">
      <c r="A32" s="171" t="s">
        <v>319</v>
      </c>
      <c r="B32" s="168"/>
      <c r="C32" s="168"/>
      <c r="D32" s="168"/>
      <c r="E32" s="168"/>
      <c r="F32" s="168"/>
      <c r="G32" s="168"/>
      <c r="H32" s="168"/>
      <c r="I32" s="168"/>
      <c r="J32" s="168"/>
      <c r="K32" s="169"/>
      <c r="L32" s="170"/>
      <c r="M32" s="170"/>
      <c r="N32" s="170"/>
    </row>
    <row r="33" spans="1:14" ht="16.5">
      <c r="A33" s="171"/>
      <c r="B33" s="168"/>
      <c r="C33" s="168"/>
      <c r="D33" s="168"/>
      <c r="E33" s="168"/>
      <c r="F33" s="168"/>
      <c r="G33" s="168"/>
      <c r="H33" s="168"/>
      <c r="I33" s="168"/>
      <c r="J33" s="168"/>
      <c r="K33" s="169"/>
      <c r="L33" s="170"/>
      <c r="M33" s="170"/>
      <c r="N33" s="170"/>
    </row>
    <row r="34" spans="1:14" ht="16.5">
      <c r="A34" s="171" t="s">
        <v>320</v>
      </c>
      <c r="B34" s="168"/>
      <c r="C34" s="168"/>
      <c r="D34" s="168"/>
      <c r="E34" s="168"/>
      <c r="F34" s="168"/>
      <c r="G34" s="168"/>
      <c r="H34" s="168"/>
      <c r="I34" s="168"/>
      <c r="J34" s="168"/>
      <c r="K34" s="169"/>
      <c r="L34" s="170"/>
      <c r="M34" s="170"/>
      <c r="N34" s="170"/>
    </row>
    <row r="35" spans="1:14" ht="16.5">
      <c r="A35" s="168"/>
      <c r="B35" s="168"/>
      <c r="C35" s="168"/>
      <c r="D35" s="168"/>
      <c r="E35" s="168"/>
      <c r="F35" s="168"/>
      <c r="G35" s="168"/>
      <c r="H35" s="168"/>
      <c r="I35" s="168"/>
      <c r="J35" s="168"/>
      <c r="K35" s="169"/>
      <c r="L35" s="170"/>
      <c r="M35" s="170"/>
      <c r="N35" s="170"/>
    </row>
    <row r="36" spans="1:14" ht="16.5">
      <c r="A36" s="171" t="s">
        <v>321</v>
      </c>
      <c r="B36" s="168"/>
      <c r="C36" s="168"/>
      <c r="D36" s="168"/>
      <c r="E36" s="168"/>
      <c r="F36" s="168"/>
      <c r="G36" s="168"/>
      <c r="H36" s="168"/>
      <c r="I36" s="168"/>
      <c r="J36" s="168"/>
      <c r="K36" s="169"/>
      <c r="L36" s="170"/>
      <c r="M36" s="170"/>
      <c r="N36" s="170"/>
    </row>
    <row r="37" spans="1:14" ht="16.5">
      <c r="A37" s="171"/>
      <c r="B37" s="168"/>
      <c r="C37" s="168"/>
      <c r="D37" s="168"/>
      <c r="E37" s="168"/>
      <c r="F37" s="168"/>
      <c r="G37" s="168"/>
      <c r="H37" s="168"/>
      <c r="I37" s="168"/>
      <c r="J37" s="168"/>
      <c r="K37" s="169"/>
      <c r="L37" s="170"/>
      <c r="M37" s="170"/>
      <c r="N37" s="170"/>
    </row>
    <row r="38" spans="1:14" ht="16.5">
      <c r="A38" s="168" t="s">
        <v>322</v>
      </c>
      <c r="B38" s="168"/>
      <c r="C38" s="168"/>
      <c r="D38" s="168"/>
      <c r="E38" s="168"/>
      <c r="F38" s="168"/>
      <c r="G38" s="168"/>
      <c r="H38" s="168"/>
      <c r="I38" s="168"/>
      <c r="J38" s="168"/>
      <c r="K38" s="169"/>
      <c r="L38" s="170"/>
      <c r="M38" s="170"/>
      <c r="N38" s="170"/>
    </row>
    <row r="39" spans="1:14" ht="16.5">
      <c r="A39" s="171"/>
      <c r="B39" s="168"/>
      <c r="C39" s="168"/>
      <c r="D39" s="168"/>
      <c r="E39" s="168"/>
      <c r="F39" s="168"/>
      <c r="G39" s="168"/>
      <c r="H39" s="168"/>
      <c r="I39" s="168"/>
      <c r="J39" s="168"/>
      <c r="K39" s="169"/>
      <c r="L39" s="170"/>
      <c r="M39" s="170"/>
      <c r="N39" s="170"/>
    </row>
    <row r="40" spans="1:14" ht="16.5">
      <c r="A40" s="171" t="s">
        <v>323</v>
      </c>
      <c r="B40" s="168"/>
      <c r="C40" s="168"/>
      <c r="D40" s="168"/>
      <c r="E40" s="168"/>
      <c r="F40" s="168"/>
      <c r="G40" s="168"/>
      <c r="H40" s="168"/>
      <c r="I40" s="168"/>
      <c r="J40" s="168"/>
      <c r="K40" s="169"/>
      <c r="L40" s="170"/>
      <c r="M40" s="170"/>
      <c r="N40" s="170"/>
    </row>
    <row r="41" spans="1:14" ht="16.5">
      <c r="A41" s="171"/>
      <c r="B41" s="168"/>
      <c r="C41" s="168"/>
      <c r="D41" s="168"/>
      <c r="E41" s="168"/>
      <c r="F41" s="168"/>
      <c r="G41" s="168"/>
      <c r="H41" s="168"/>
      <c r="I41" s="168"/>
      <c r="J41" s="168"/>
      <c r="K41" s="169"/>
      <c r="L41" s="170"/>
      <c r="M41" s="170"/>
      <c r="N41" s="170"/>
    </row>
    <row r="42" spans="1:14" ht="16.5">
      <c r="A42" s="168" t="s">
        <v>324</v>
      </c>
      <c r="B42" s="168"/>
      <c r="C42" s="168"/>
      <c r="D42" s="168"/>
      <c r="E42" s="168"/>
      <c r="F42" s="168"/>
      <c r="G42" s="168"/>
      <c r="H42" s="168"/>
      <c r="I42" s="168"/>
      <c r="J42" s="168"/>
      <c r="K42" s="169"/>
      <c r="L42" s="170"/>
      <c r="M42" s="170"/>
      <c r="N42" s="170"/>
    </row>
    <row r="43" spans="1:14" ht="16.5">
      <c r="A43" s="171"/>
      <c r="B43" s="168"/>
      <c r="C43" s="168"/>
      <c r="D43" s="168"/>
      <c r="E43" s="168"/>
      <c r="F43" s="168"/>
      <c r="G43" s="168"/>
      <c r="H43" s="168"/>
      <c r="I43" s="168"/>
      <c r="J43" s="168"/>
      <c r="K43" s="169"/>
      <c r="L43" s="170"/>
      <c r="M43" s="170"/>
      <c r="N43" s="170"/>
    </row>
    <row r="44" spans="1:14" ht="16.5">
      <c r="A44" s="171" t="s">
        <v>325</v>
      </c>
      <c r="B44" s="168"/>
      <c r="C44" s="168"/>
      <c r="D44" s="168"/>
      <c r="E44" s="168"/>
      <c r="F44" s="168"/>
      <c r="G44" s="168"/>
      <c r="H44" s="168"/>
      <c r="I44" s="168"/>
      <c r="J44" s="168"/>
      <c r="K44" s="169"/>
      <c r="L44" s="170"/>
      <c r="M44" s="170"/>
      <c r="N44" s="170"/>
    </row>
    <row r="45" spans="1:14" ht="16.5">
      <c r="A45" s="168"/>
      <c r="B45" s="168"/>
      <c r="C45" s="168"/>
      <c r="D45" s="168"/>
      <c r="E45" s="168"/>
      <c r="F45" s="168"/>
      <c r="G45" s="168"/>
      <c r="H45" s="168"/>
      <c r="I45" s="168"/>
      <c r="J45" s="168"/>
      <c r="K45" s="169"/>
      <c r="L45" s="170"/>
      <c r="M45" s="170"/>
      <c r="N45" s="170"/>
    </row>
    <row r="46" spans="1:14" ht="16.5">
      <c r="A46" s="168" t="s">
        <v>326</v>
      </c>
      <c r="B46" s="168"/>
      <c r="C46" s="168" t="s">
        <v>327</v>
      </c>
      <c r="D46" s="168"/>
      <c r="E46" s="168"/>
      <c r="F46" s="168"/>
      <c r="G46" s="168"/>
      <c r="H46" s="168"/>
      <c r="I46" s="168"/>
      <c r="J46" s="168"/>
      <c r="K46" s="169"/>
      <c r="L46" s="170"/>
      <c r="M46" s="170"/>
      <c r="N46" s="170"/>
    </row>
    <row r="47" spans="1:14" ht="16.5">
      <c r="A47" s="168"/>
      <c r="B47" s="168"/>
      <c r="C47" s="168"/>
      <c r="D47" s="168"/>
      <c r="E47" s="168"/>
      <c r="F47" s="168"/>
      <c r="G47" s="168"/>
      <c r="H47" s="168"/>
      <c r="I47" s="168"/>
      <c r="J47" s="168"/>
      <c r="K47" s="169"/>
      <c r="L47" s="170"/>
      <c r="M47" s="170"/>
      <c r="N47" s="170"/>
    </row>
    <row r="48" spans="1:14" ht="16.5">
      <c r="A48" s="168" t="s">
        <v>328</v>
      </c>
      <c r="B48" s="168"/>
      <c r="C48" s="168" t="s">
        <v>329</v>
      </c>
      <c r="D48" s="168"/>
      <c r="E48" s="168"/>
      <c r="F48" s="168"/>
      <c r="G48" s="168"/>
      <c r="H48" s="168"/>
      <c r="I48" s="168"/>
      <c r="J48" s="168"/>
      <c r="K48" s="169"/>
      <c r="L48" s="170"/>
      <c r="M48" s="170"/>
      <c r="N48" s="170"/>
    </row>
    <row r="49" spans="1:14" ht="16.5">
      <c r="A49" s="168"/>
      <c r="B49" s="168"/>
      <c r="C49" s="168"/>
      <c r="D49" s="168"/>
      <c r="E49" s="168"/>
      <c r="F49" s="168"/>
      <c r="G49" s="168"/>
      <c r="H49" s="168"/>
      <c r="I49" s="168"/>
      <c r="J49" s="168"/>
      <c r="K49" s="169"/>
      <c r="L49" s="170"/>
      <c r="M49" s="170"/>
      <c r="N49" s="170"/>
    </row>
    <row r="50" spans="1:14" ht="16.5">
      <c r="A50" s="171" t="s">
        <v>330</v>
      </c>
      <c r="B50" s="168"/>
      <c r="C50" s="168"/>
      <c r="D50" s="168"/>
      <c r="E50" s="168"/>
      <c r="F50" s="168"/>
      <c r="G50" s="168"/>
      <c r="H50" s="168"/>
      <c r="I50" s="168"/>
      <c r="J50" s="168"/>
      <c r="K50" s="169"/>
      <c r="L50" s="170"/>
      <c r="M50" s="170"/>
      <c r="N50" s="170"/>
    </row>
    <row r="51" spans="1:14" ht="16.5">
      <c r="A51" s="171" t="s">
        <v>331</v>
      </c>
      <c r="B51" s="168"/>
      <c r="C51" s="168"/>
      <c r="D51" s="168"/>
      <c r="E51" s="168"/>
      <c r="F51" s="168"/>
      <c r="G51" s="168"/>
      <c r="H51" s="168"/>
      <c r="I51" s="168"/>
      <c r="J51" s="168"/>
      <c r="K51" s="169"/>
      <c r="L51" s="170"/>
      <c r="M51" s="170"/>
      <c r="N51" s="170"/>
    </row>
    <row r="52" spans="1:14" ht="16.5">
      <c r="A52" s="168"/>
      <c r="B52" s="168"/>
      <c r="C52" s="168"/>
      <c r="D52" s="168"/>
      <c r="E52" s="168"/>
      <c r="F52" s="168"/>
      <c r="G52" s="168"/>
      <c r="H52" s="168"/>
      <c r="I52" s="168"/>
      <c r="J52" s="168"/>
      <c r="K52" s="169"/>
      <c r="L52" s="170"/>
      <c r="M52" s="170"/>
      <c r="N52" s="170"/>
    </row>
    <row r="53" spans="1:14" ht="16.5">
      <c r="A53" s="171" t="s">
        <v>332</v>
      </c>
      <c r="B53" s="168"/>
      <c r="C53" s="168"/>
      <c r="D53" s="168"/>
      <c r="E53" s="168"/>
      <c r="F53" s="168"/>
      <c r="G53" s="168"/>
      <c r="H53" s="168"/>
      <c r="I53" s="168"/>
      <c r="J53" s="168"/>
      <c r="K53" s="169"/>
      <c r="L53" s="170"/>
      <c r="M53" s="170"/>
      <c r="N53" s="170"/>
    </row>
    <row r="54" spans="1:14" ht="16.5">
      <c r="A54" s="171" t="s">
        <v>333</v>
      </c>
      <c r="B54" s="168"/>
      <c r="C54" s="168"/>
      <c r="D54" s="168"/>
      <c r="E54" s="168"/>
      <c r="F54" s="168"/>
      <c r="G54" s="168"/>
      <c r="H54" s="168"/>
      <c r="I54" s="168"/>
      <c r="J54" s="168"/>
      <c r="K54" s="169"/>
      <c r="L54" s="170"/>
      <c r="M54" s="170"/>
      <c r="N54" s="170"/>
    </row>
    <row r="55" spans="1:14" ht="16.5">
      <c r="A55" s="171" t="s">
        <v>334</v>
      </c>
      <c r="B55" s="168"/>
      <c r="C55" s="168"/>
      <c r="D55" s="168"/>
      <c r="E55" s="168"/>
      <c r="F55" s="168"/>
      <c r="G55" s="168"/>
      <c r="H55" s="168"/>
      <c r="I55" s="168"/>
      <c r="J55" s="168"/>
      <c r="K55" s="169"/>
      <c r="L55" s="170"/>
      <c r="M55" s="170"/>
      <c r="N55" s="170"/>
    </row>
    <row r="56" spans="1:14" ht="16.5">
      <c r="A56" s="171" t="s">
        <v>335</v>
      </c>
      <c r="B56" s="168"/>
      <c r="C56" s="168"/>
      <c r="D56" s="168"/>
      <c r="E56" s="168"/>
      <c r="F56" s="168"/>
      <c r="G56" s="168"/>
      <c r="H56" s="168"/>
      <c r="I56" s="168"/>
      <c r="J56" s="168"/>
      <c r="K56" s="169"/>
      <c r="L56" s="170"/>
      <c r="M56" s="170"/>
      <c r="N56" s="170"/>
    </row>
    <row r="57" spans="1:14" ht="16.5">
      <c r="A57" s="171" t="s">
        <v>336</v>
      </c>
      <c r="B57" s="168"/>
      <c r="C57" s="168"/>
      <c r="D57" s="168"/>
      <c r="E57" s="168"/>
      <c r="F57" s="168"/>
      <c r="G57" s="168"/>
      <c r="H57" s="168"/>
      <c r="I57" s="168"/>
      <c r="J57" s="168"/>
      <c r="K57" s="169"/>
      <c r="L57" s="170"/>
      <c r="M57" s="170"/>
      <c r="N57" s="170"/>
    </row>
    <row r="58" spans="1:14" ht="16.5">
      <c r="A58" s="168"/>
      <c r="B58" s="168"/>
      <c r="C58" s="168"/>
      <c r="D58" s="168"/>
      <c r="E58" s="168"/>
      <c r="F58" s="168"/>
      <c r="G58" s="168"/>
      <c r="H58" s="168"/>
      <c r="I58" s="168"/>
      <c r="J58" s="168"/>
      <c r="K58" s="169"/>
      <c r="L58" s="170"/>
      <c r="M58" s="170"/>
      <c r="N58" s="170"/>
    </row>
    <row r="59" spans="1:14" ht="16.5">
      <c r="A59" s="171" t="s">
        <v>337</v>
      </c>
      <c r="B59" s="168"/>
      <c r="C59" s="168"/>
      <c r="D59" s="168"/>
      <c r="E59" s="168"/>
      <c r="F59" s="168"/>
      <c r="G59" s="168"/>
      <c r="H59" s="168"/>
      <c r="I59" s="168"/>
      <c r="J59" s="168"/>
      <c r="K59" s="169"/>
      <c r="L59" s="170"/>
      <c r="M59" s="170"/>
      <c r="N59" s="170"/>
    </row>
    <row r="60" spans="1:14" ht="16.5">
      <c r="A60" s="171" t="s">
        <v>338</v>
      </c>
      <c r="B60" s="168"/>
      <c r="C60" s="168"/>
      <c r="D60" s="168"/>
      <c r="E60" s="168"/>
      <c r="F60" s="168"/>
      <c r="G60" s="168"/>
      <c r="H60" s="168"/>
      <c r="I60" s="168"/>
      <c r="J60" s="168"/>
      <c r="K60" s="169"/>
      <c r="L60" s="170"/>
      <c r="M60" s="170"/>
      <c r="N60" s="170"/>
    </row>
    <row r="61" spans="1:14" ht="16.5">
      <c r="A61" s="168"/>
      <c r="B61" s="168"/>
      <c r="C61" s="168"/>
      <c r="D61" s="168"/>
      <c r="E61" s="168"/>
      <c r="F61" s="168"/>
      <c r="G61" s="168"/>
      <c r="H61" s="168"/>
      <c r="I61" s="168"/>
      <c r="J61" s="168"/>
      <c r="K61" s="169"/>
      <c r="L61" s="170"/>
      <c r="M61" s="170"/>
      <c r="N61" s="170"/>
    </row>
    <row r="62" spans="1:14" ht="16.5">
      <c r="A62" s="171" t="s">
        <v>339</v>
      </c>
      <c r="B62" s="168"/>
      <c r="C62" s="168"/>
      <c r="D62" s="168"/>
      <c r="E62" s="168"/>
      <c r="F62" s="168"/>
      <c r="G62" s="168"/>
      <c r="H62" s="168"/>
      <c r="I62" s="168"/>
      <c r="J62" s="168"/>
      <c r="K62" s="169"/>
      <c r="L62" s="170"/>
      <c r="M62" s="170"/>
      <c r="N62" s="170"/>
    </row>
    <row r="63" spans="1:14" ht="16.5">
      <c r="A63" s="171" t="s">
        <v>340</v>
      </c>
      <c r="B63" s="168"/>
      <c r="C63" s="168"/>
      <c r="D63" s="168"/>
      <c r="E63" s="168"/>
      <c r="F63" s="168"/>
      <c r="G63" s="168"/>
      <c r="H63" s="168"/>
      <c r="I63" s="168"/>
      <c r="J63" s="168"/>
      <c r="K63" s="169"/>
      <c r="L63" s="170"/>
      <c r="M63" s="170"/>
      <c r="N63" s="170"/>
    </row>
    <row r="64" spans="1:14" ht="16.5">
      <c r="A64" s="171" t="s">
        <v>341</v>
      </c>
      <c r="B64" s="168"/>
      <c r="C64" s="168"/>
      <c r="D64" s="168"/>
      <c r="E64" s="168"/>
      <c r="F64" s="168"/>
      <c r="G64" s="168"/>
      <c r="H64" s="168"/>
      <c r="I64" s="168"/>
      <c r="J64" s="168"/>
      <c r="K64" s="169"/>
      <c r="L64" s="170"/>
      <c r="M64" s="170"/>
      <c r="N64" s="170"/>
    </row>
    <row r="65" spans="1:14" ht="16.5">
      <c r="A65" s="171" t="s">
        <v>342</v>
      </c>
      <c r="B65" s="168"/>
      <c r="C65" s="168"/>
      <c r="D65" s="168"/>
      <c r="E65" s="168"/>
      <c r="F65" s="168"/>
      <c r="G65" s="168"/>
      <c r="H65" s="168"/>
      <c r="I65" s="168"/>
      <c r="J65" s="168"/>
      <c r="K65" s="169"/>
      <c r="L65" s="170"/>
      <c r="M65" s="170"/>
      <c r="N65" s="170"/>
    </row>
    <row r="66" spans="1:14" ht="16.5">
      <c r="A66" s="171" t="s">
        <v>343</v>
      </c>
      <c r="B66" s="168"/>
      <c r="C66" s="168"/>
      <c r="D66" s="168"/>
      <c r="E66" s="168"/>
      <c r="F66" s="168"/>
      <c r="G66" s="168"/>
      <c r="H66" s="168"/>
      <c r="I66" s="168"/>
      <c r="J66" s="168"/>
      <c r="K66" s="169"/>
      <c r="L66" s="170"/>
      <c r="M66" s="170"/>
      <c r="N66" s="170"/>
    </row>
    <row r="67" spans="1:14" ht="16.5">
      <c r="A67" s="168"/>
      <c r="B67" s="168"/>
      <c r="C67" s="168"/>
      <c r="D67" s="168"/>
      <c r="E67" s="168"/>
      <c r="F67" s="168"/>
      <c r="G67" s="168"/>
      <c r="H67" s="168"/>
      <c r="I67" s="168"/>
      <c r="J67" s="168"/>
      <c r="K67" s="169"/>
      <c r="L67" s="170"/>
      <c r="M67" s="170"/>
      <c r="N67" s="170"/>
    </row>
    <row r="68" spans="1:14" ht="16.5">
      <c r="A68" s="171" t="s">
        <v>344</v>
      </c>
      <c r="B68" s="168"/>
      <c r="C68" s="168"/>
      <c r="D68" s="168"/>
      <c r="E68" s="168"/>
      <c r="F68" s="168"/>
      <c r="G68" s="168"/>
      <c r="H68" s="168"/>
      <c r="I68" s="168"/>
      <c r="J68" s="168"/>
      <c r="K68" s="169"/>
      <c r="L68" s="170"/>
      <c r="M68" s="170"/>
      <c r="N68" s="170"/>
    </row>
    <row r="69" spans="1:14" ht="16.5">
      <c r="A69" s="171" t="s">
        <v>345</v>
      </c>
      <c r="B69" s="168"/>
      <c r="C69" s="168"/>
      <c r="D69" s="168"/>
      <c r="E69" s="168"/>
      <c r="F69" s="168"/>
      <c r="G69" s="168"/>
      <c r="H69" s="168"/>
      <c r="I69" s="168"/>
      <c r="J69" s="168"/>
      <c r="K69" s="169"/>
      <c r="L69" s="170"/>
      <c r="M69" s="170"/>
      <c r="N69" s="170"/>
    </row>
    <row r="70" spans="1:14" ht="16.5">
      <c r="A70" s="168"/>
      <c r="B70" s="168"/>
      <c r="C70" s="168"/>
      <c r="D70" s="168"/>
      <c r="E70" s="168"/>
      <c r="F70" s="168"/>
      <c r="G70" s="168"/>
      <c r="H70" s="168"/>
      <c r="I70" s="168"/>
      <c r="J70" s="168"/>
      <c r="K70" s="169"/>
      <c r="L70" s="170"/>
      <c r="M70" s="170"/>
      <c r="N70" s="170"/>
    </row>
    <row r="71" spans="1:14" ht="16.5">
      <c r="A71" s="171" t="s">
        <v>346</v>
      </c>
      <c r="B71" s="168"/>
      <c r="C71" s="168"/>
      <c r="D71" s="168"/>
      <c r="E71" s="168"/>
      <c r="F71" s="168"/>
      <c r="G71" s="168"/>
      <c r="H71" s="168"/>
      <c r="I71" s="168"/>
      <c r="J71" s="168"/>
      <c r="K71" s="169"/>
      <c r="L71" s="170"/>
      <c r="M71" s="170"/>
      <c r="N71" s="170"/>
    </row>
    <row r="72" spans="1:14" ht="16.5">
      <c r="A72" s="171" t="s">
        <v>347</v>
      </c>
      <c r="B72" s="168"/>
      <c r="C72" s="168"/>
      <c r="D72" s="168"/>
      <c r="E72" s="168"/>
      <c r="F72" s="168"/>
      <c r="G72" s="168"/>
      <c r="H72" s="168"/>
      <c r="I72" s="168"/>
      <c r="J72" s="168"/>
      <c r="K72" s="169"/>
      <c r="L72" s="170"/>
      <c r="M72" s="170"/>
      <c r="N72" s="170"/>
    </row>
    <row r="73" spans="1:14" ht="16.5">
      <c r="A73" s="171" t="s">
        <v>348</v>
      </c>
      <c r="B73" s="168"/>
      <c r="C73" s="168"/>
      <c r="D73" s="168"/>
      <c r="E73" s="168"/>
      <c r="F73" s="168"/>
      <c r="G73" s="168"/>
      <c r="H73" s="168"/>
      <c r="I73" s="168"/>
      <c r="J73" s="168"/>
      <c r="K73" s="169"/>
      <c r="L73" s="170"/>
      <c r="M73" s="170"/>
      <c r="N73" s="170"/>
    </row>
    <row r="74" spans="1:14" ht="16.5">
      <c r="A74" s="168"/>
      <c r="B74" s="168"/>
      <c r="C74" s="168"/>
      <c r="D74" s="168"/>
      <c r="E74" s="168"/>
      <c r="F74" s="168"/>
      <c r="G74" s="168"/>
      <c r="H74" s="168"/>
      <c r="I74" s="168"/>
      <c r="J74" s="168"/>
      <c r="K74" s="169"/>
      <c r="L74" s="170"/>
      <c r="M74" s="170"/>
      <c r="N74" s="170"/>
    </row>
    <row r="75" spans="1:14" ht="16.5">
      <c r="A75" s="171" t="s">
        <v>349</v>
      </c>
      <c r="B75" s="168"/>
      <c r="C75" s="168"/>
      <c r="D75" s="168"/>
      <c r="E75" s="168"/>
      <c r="F75" s="168"/>
      <c r="G75" s="168"/>
      <c r="H75" s="168"/>
      <c r="I75" s="168"/>
      <c r="J75" s="168"/>
      <c r="K75" s="169"/>
      <c r="L75" s="170"/>
      <c r="M75" s="170"/>
      <c r="N75" s="170"/>
    </row>
    <row r="76" spans="1:14" ht="16.5">
      <c r="A76" s="171" t="s">
        <v>350</v>
      </c>
      <c r="B76" s="168"/>
      <c r="C76" s="168"/>
      <c r="D76" s="168"/>
      <c r="E76" s="168"/>
      <c r="F76" s="168"/>
      <c r="G76" s="168"/>
      <c r="H76" s="168"/>
      <c r="I76" s="168"/>
      <c r="J76" s="168"/>
      <c r="K76" s="169"/>
      <c r="L76" s="170"/>
      <c r="M76" s="170"/>
      <c r="N76" s="170"/>
    </row>
    <row r="77" spans="1:10" ht="16.5">
      <c r="A77" s="171"/>
      <c r="B77" s="171"/>
      <c r="C77" s="171"/>
      <c r="D77" s="171"/>
      <c r="E77" s="171"/>
      <c r="F77" s="171"/>
      <c r="G77" s="171"/>
      <c r="H77" s="171"/>
      <c r="I77" s="171"/>
      <c r="J77" s="171"/>
    </row>
    <row r="78" spans="1:6" ht="16.5">
      <c r="A78" s="172" t="s">
        <v>351</v>
      </c>
      <c r="B78" s="172"/>
      <c r="C78" s="172"/>
      <c r="D78" s="172"/>
      <c r="E78" s="172"/>
      <c r="F78" s="172"/>
    </row>
    <row r="79" spans="1:6" ht="16.5">
      <c r="A79" s="172" t="s">
        <v>352</v>
      </c>
      <c r="B79" s="172"/>
      <c r="C79" s="172"/>
      <c r="D79" s="172"/>
      <c r="E79" s="172"/>
      <c r="F79" s="172"/>
    </row>
    <row r="80" spans="1:6" ht="16.5">
      <c r="A80" s="172"/>
      <c r="B80" s="172"/>
      <c r="C80" s="172"/>
      <c r="D80" s="172"/>
      <c r="E80" s="172"/>
      <c r="F80" s="172"/>
    </row>
    <row r="81" spans="1:6" ht="16.5">
      <c r="A81" s="173" t="s">
        <v>353</v>
      </c>
      <c r="B81" s="173"/>
      <c r="C81" s="173"/>
      <c r="D81" s="173"/>
      <c r="E81" s="173"/>
      <c r="F81" s="173"/>
    </row>
    <row r="82" spans="1:6" ht="16.5">
      <c r="A82" s="173" t="s">
        <v>354</v>
      </c>
      <c r="B82" s="173"/>
      <c r="C82" s="173"/>
      <c r="D82" s="173"/>
      <c r="E82" s="173"/>
      <c r="F82" s="173"/>
    </row>
    <row r="83" spans="1:6" ht="16.5">
      <c r="A83" s="173" t="s">
        <v>355</v>
      </c>
      <c r="B83" s="173"/>
      <c r="C83" s="173"/>
      <c r="D83" s="173"/>
      <c r="E83" s="173"/>
      <c r="F83" s="173"/>
    </row>
    <row r="84" spans="1:6" ht="16.5">
      <c r="A84" s="173" t="s">
        <v>356</v>
      </c>
      <c r="B84" s="173"/>
      <c r="C84" s="173"/>
      <c r="D84" s="173"/>
      <c r="E84" s="173"/>
      <c r="F84" s="173"/>
    </row>
    <row r="85" spans="1:6" ht="16.5">
      <c r="A85" s="173" t="s">
        <v>357</v>
      </c>
      <c r="B85" s="173"/>
      <c r="C85" s="173"/>
      <c r="D85" s="173"/>
      <c r="E85" s="173"/>
      <c r="F85" s="173"/>
    </row>
    <row r="86" spans="1:6" ht="16.5">
      <c r="A86" s="173" t="s">
        <v>358</v>
      </c>
      <c r="B86" s="173"/>
      <c r="C86" s="173"/>
      <c r="D86" s="173"/>
      <c r="E86" s="173"/>
      <c r="F86" s="173"/>
    </row>
    <row r="87" spans="1:6" ht="16.5">
      <c r="A87" s="173" t="s">
        <v>359</v>
      </c>
      <c r="B87" s="173"/>
      <c r="C87" s="173"/>
      <c r="D87" s="173"/>
      <c r="E87" s="173"/>
      <c r="F87" s="173"/>
    </row>
    <row r="88" spans="1:6" ht="16.5">
      <c r="A88" s="173" t="s">
        <v>360</v>
      </c>
      <c r="B88" s="173"/>
      <c r="C88" s="173"/>
      <c r="D88" s="173"/>
      <c r="E88" s="173"/>
      <c r="F88" s="173"/>
    </row>
    <row r="89" spans="1:6" ht="16.5">
      <c r="A89" s="173" t="s">
        <v>361</v>
      </c>
      <c r="B89" s="173"/>
      <c r="C89" s="173"/>
      <c r="D89" s="173"/>
      <c r="E89" s="173"/>
      <c r="F89" s="173"/>
    </row>
    <row r="90" spans="1:6" ht="16.5">
      <c r="A90" s="173"/>
      <c r="B90" s="173"/>
      <c r="C90" s="173"/>
      <c r="D90" s="173"/>
      <c r="E90" s="173"/>
      <c r="F90" s="173"/>
    </row>
    <row r="91" spans="1:6" ht="16.5">
      <c r="A91" s="173" t="s">
        <v>362</v>
      </c>
      <c r="B91" s="173"/>
      <c r="C91" s="173"/>
      <c r="D91" s="173"/>
      <c r="E91" s="173"/>
      <c r="F91" s="173"/>
    </row>
    <row r="92" spans="1:6" ht="16.5">
      <c r="A92" s="173" t="s">
        <v>363</v>
      </c>
      <c r="B92" s="173"/>
      <c r="C92" s="173"/>
      <c r="D92" s="173"/>
      <c r="E92" s="173"/>
      <c r="F92" s="173"/>
    </row>
    <row r="93" spans="1:6" ht="16.5">
      <c r="A93" s="173" t="s">
        <v>364</v>
      </c>
      <c r="B93" s="173"/>
      <c r="C93" s="173"/>
      <c r="D93" s="173"/>
      <c r="E93" s="173"/>
      <c r="F93" s="173"/>
    </row>
    <row r="94" spans="1:6" ht="16.5">
      <c r="A94" s="173" t="s">
        <v>365</v>
      </c>
      <c r="B94" s="173"/>
      <c r="C94" s="173"/>
      <c r="D94" s="173"/>
      <c r="E94" s="173"/>
      <c r="F94" s="173"/>
    </row>
    <row r="95" spans="1:6" ht="16.5">
      <c r="A95" s="173" t="s">
        <v>366</v>
      </c>
      <c r="B95" s="173"/>
      <c r="C95" s="173"/>
      <c r="D95" s="173"/>
      <c r="E95" s="173"/>
      <c r="F95" s="173"/>
    </row>
    <row r="96" spans="1:6" ht="16.5">
      <c r="A96" s="173" t="s">
        <v>367</v>
      </c>
      <c r="B96" s="173"/>
      <c r="C96" s="173"/>
      <c r="D96" s="173"/>
      <c r="E96" s="173"/>
      <c r="F96" s="173"/>
    </row>
    <row r="97" spans="1:6" ht="16.5">
      <c r="A97" s="173" t="s">
        <v>368</v>
      </c>
      <c r="B97" s="173"/>
      <c r="C97" s="173"/>
      <c r="D97" s="173"/>
      <c r="E97" s="173"/>
      <c r="F97" s="173"/>
    </row>
    <row r="98" spans="1:6" ht="16.5">
      <c r="A98" s="173" t="s">
        <v>369</v>
      </c>
      <c r="B98" s="173"/>
      <c r="C98" s="173"/>
      <c r="D98" s="173"/>
      <c r="E98" s="173"/>
      <c r="F98" s="173"/>
    </row>
  </sheetData>
  <sheetProtection selectLockedCells="1" selectUnlockedCells="1"/>
  <hyperlinks>
    <hyperlink ref="C7" r:id="rId1" display="http://www.amidoncorp.com"/>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Q7"/>
  <sheetViews>
    <sheetView zoomScale="75" zoomScaleNormal="75" workbookViewId="0" topLeftCell="A1">
      <selection activeCell="B8" sqref="B8"/>
    </sheetView>
  </sheetViews>
  <sheetFormatPr defaultColWidth="7.99609375" defaultRowHeight="15"/>
  <cols>
    <col min="1" max="4" width="8.88671875" style="0" customWidth="1"/>
    <col min="5" max="5" width="14.4453125" style="0" customWidth="1"/>
    <col min="6" max="6" width="13.10546875" style="0" customWidth="1"/>
    <col min="7" max="7" width="8.88671875" style="0" customWidth="1"/>
    <col min="8" max="8" width="19.4453125" style="0" customWidth="1"/>
    <col min="9" max="29" width="8.88671875" style="0" hidden="1" customWidth="1"/>
    <col min="30" max="31" width="8.88671875" style="0" customWidth="1"/>
    <col min="32" max="41" width="8.88671875" style="0" hidden="1" customWidth="1"/>
    <col min="42" max="16384" width="8.88671875" style="0" customWidth="1"/>
  </cols>
  <sheetData>
    <row r="1" spans="1:7" ht="16.5">
      <c r="A1" s="172" t="s">
        <v>0</v>
      </c>
      <c r="B1" s="172"/>
      <c r="C1" s="172"/>
      <c r="E1" s="172"/>
      <c r="F1" s="172"/>
      <c r="G1" s="172"/>
    </row>
    <row r="2" spans="1:8" ht="16.5">
      <c r="A2" s="2" t="s">
        <v>235</v>
      </c>
      <c r="B2" s="2"/>
      <c r="C2" s="172"/>
      <c r="E2" s="174" t="s">
        <v>370</v>
      </c>
      <c r="F2" s="174"/>
      <c r="G2" s="174"/>
      <c r="H2" s="174"/>
    </row>
    <row r="3" spans="1:3" ht="16.5">
      <c r="A3" s="2" t="s">
        <v>371</v>
      </c>
      <c r="B3" s="2"/>
      <c r="C3" s="172"/>
    </row>
    <row r="4" spans="2:8" ht="16.5">
      <c r="B4" s="31"/>
      <c r="C4" s="31"/>
      <c r="D4" s="31"/>
      <c r="E4" s="31"/>
      <c r="F4" s="31"/>
      <c r="G4" s="31"/>
      <c r="H4" s="31"/>
    </row>
    <row r="5" spans="2:43" s="175" customFormat="1" ht="15" customHeight="1">
      <c r="B5" s="176" t="s">
        <v>372</v>
      </c>
      <c r="C5" s="177" t="s">
        <v>373</v>
      </c>
      <c r="D5" s="178" t="s">
        <v>374</v>
      </c>
      <c r="E5" s="179" t="s">
        <v>375</v>
      </c>
      <c r="F5" s="179"/>
      <c r="G5" s="179"/>
      <c r="H5" s="179"/>
      <c r="I5" s="180">
        <f>CODE(UPPER(MID(D5,1,1)))-65</f>
        <v>9</v>
      </c>
      <c r="J5" s="180">
        <f>CODE(UPPER(MID(D5,3,1)))-48</f>
        <v>0</v>
      </c>
      <c r="K5" s="180">
        <f>CODE(UPPER(MID(D5,5,1)))-64.5</f>
        <v>12.5</v>
      </c>
      <c r="L5" s="180">
        <f>I5*10+J5+K5/24-90</f>
        <v>0.5208333333333286</v>
      </c>
      <c r="M5" s="180">
        <f>CODE(UPPER(MID(D5,2,1)))-65</f>
        <v>14</v>
      </c>
      <c r="N5" s="180">
        <f>CODE(UPPER(MID(D5,4,1)))-48</f>
        <v>1</v>
      </c>
      <c r="O5" s="180">
        <f>CODE(UPPER(MID(D5,6,1)))-64.5</f>
        <v>8.5</v>
      </c>
      <c r="P5" s="180">
        <f>M5*10+N5+O5/24-90</f>
        <v>51.35416666666666</v>
      </c>
      <c r="Q5" s="180" t="s">
        <v>376</v>
      </c>
      <c r="R5" s="180">
        <v>57.2958</v>
      </c>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row>
    <row r="6" spans="2:43" s="175" customFormat="1" ht="16.5" customHeight="1">
      <c r="B6" s="181" t="s">
        <v>377</v>
      </c>
      <c r="C6" s="182"/>
      <c r="D6" s="182"/>
      <c r="E6" s="183" t="s">
        <v>378</v>
      </c>
      <c r="F6" s="183" t="s">
        <v>379</v>
      </c>
      <c r="G6" s="183" t="s">
        <v>380</v>
      </c>
      <c r="H6" s="184" t="s">
        <v>381</v>
      </c>
      <c r="I6" s="180"/>
      <c r="J6" s="180"/>
      <c r="K6" s="180"/>
      <c r="L6" s="180"/>
      <c r="M6" s="180"/>
      <c r="N6" s="180"/>
      <c r="O6" s="180"/>
      <c r="P6" s="180"/>
      <c r="Q6" s="180" t="s">
        <v>382</v>
      </c>
      <c r="R6" s="180" t="s">
        <v>383</v>
      </c>
      <c r="S6" s="180" t="s">
        <v>384</v>
      </c>
      <c r="T6" s="180"/>
      <c r="U6" s="180" t="s">
        <v>385</v>
      </c>
      <c r="V6" s="180"/>
      <c r="W6" s="180"/>
      <c r="X6" s="180"/>
      <c r="Y6" s="180"/>
      <c r="Z6" s="180"/>
      <c r="AA6" s="180"/>
      <c r="AB6" s="180"/>
      <c r="AC6" s="180"/>
      <c r="AD6" s="180"/>
      <c r="AE6" s="180"/>
      <c r="AF6" s="180" t="s">
        <v>383</v>
      </c>
      <c r="AG6" s="180" t="s">
        <v>382</v>
      </c>
      <c r="AH6" s="180" t="s">
        <v>384</v>
      </c>
      <c r="AI6" s="180"/>
      <c r="AJ6" s="180" t="s">
        <v>385</v>
      </c>
      <c r="AK6" s="180"/>
      <c r="AL6" s="180"/>
      <c r="AM6" s="180"/>
      <c r="AN6" s="180"/>
      <c r="AO6" s="180" t="s">
        <v>386</v>
      </c>
      <c r="AP6" s="180"/>
      <c r="AQ6" s="180"/>
    </row>
    <row r="7" spans="2:41" s="175" customFormat="1" ht="16.5" customHeight="1">
      <c r="B7" s="185" t="s">
        <v>387</v>
      </c>
      <c r="C7" s="186"/>
      <c r="D7" s="186"/>
      <c r="E7" s="186">
        <f>ROUND(F7/1.609,0)</f>
        <v>736</v>
      </c>
      <c r="F7" s="186">
        <f>IF(B7&lt;&gt;0,AC7,0)</f>
        <v>1185</v>
      </c>
      <c r="G7" s="186">
        <f>IF(B7&lt;&gt;0,Z7,"")</f>
        <v>115</v>
      </c>
      <c r="H7" s="187">
        <f>IF(B7&lt;&gt;0,AO7,"")</f>
        <v>301</v>
      </c>
      <c r="I7" s="188">
        <f>IF(B7&lt;&gt;0,CODE(UPPER(MID(B7,1,1)))-65,0)</f>
        <v>9</v>
      </c>
      <c r="J7" s="188">
        <f>IF(B7&lt;&gt;0,CODE(UPPER(MID(B7,3,1)))-48,0)</f>
        <v>7</v>
      </c>
      <c r="K7" s="188">
        <f>IF(B7&lt;&gt;0,CODE(UPPER(MID(B7,5,1)))-64.5,0)</f>
        <v>15.5</v>
      </c>
      <c r="L7" s="188">
        <f>I7*10+J7+K7/24-90</f>
        <v>7.645833333333329</v>
      </c>
      <c r="M7" s="188">
        <f>IF(B7&lt;&gt;0,CODE(UPPER(MID(B7,2,1)))-65,0)</f>
        <v>13</v>
      </c>
      <c r="N7" s="188">
        <f>IF(B7&lt;&gt;0,CODE(UPPER(MID(B7,4,1)))-48,0)</f>
        <v>6</v>
      </c>
      <c r="O7" s="188">
        <f>IF(B7&lt;&gt;0,CODE(UPPER(MID(B7,6,1)))-64.5,0)</f>
        <v>5.5</v>
      </c>
      <c r="P7" s="188">
        <f>M7*10+N7+O7/24-90</f>
        <v>46.22916666666666</v>
      </c>
      <c r="Q7" s="188">
        <f>$P$5/$R$5</f>
        <v>0.896298972466859</v>
      </c>
      <c r="R7" s="188">
        <f>P7/$R$5</f>
        <v>0.8068508802855822</v>
      </c>
      <c r="S7" s="188">
        <f>(L7-$L$5)*2/$R$5</f>
        <v>0.24870932947964772</v>
      </c>
      <c r="T7" s="188">
        <f>SIN(Q7)*SIN(R7)+COS(Q7)*COS(R7)*COS(S7)</f>
        <v>0.9827094140222362</v>
      </c>
      <c r="U7" s="188">
        <f>ATAN(SQRT(1-T7*T7)/T7)</f>
        <v>0.1862291298466348</v>
      </c>
      <c r="V7" s="188">
        <f>IF(U7&lt;0,180/$R$5+U7,U7)</f>
        <v>0.1862291298466348</v>
      </c>
      <c r="W7" s="188">
        <f>IF(Q7&lt;&gt;R7,90*(1+ABS(Q7-R7)/(Q7-R7)))</f>
        <v>180</v>
      </c>
      <c r="X7" s="188">
        <f>IF(S7&lt;&gt;0,90+$R$5*ATAN((SIN(Q7)*T7-SIN(R7))/(SIN(S7)*COS(Q7)^2)),W7*1)</f>
        <v>115.31208989830057</v>
      </c>
      <c r="Y7" s="188">
        <f>IF(SIN(S7)&lt;0,X7+180,X7*1)</f>
        <v>115.31208989830057</v>
      </c>
      <c r="Z7" s="188">
        <f>INT(Y7)</f>
        <v>115</v>
      </c>
      <c r="AA7" s="188"/>
      <c r="AB7" s="188">
        <f>6365.11*V7</f>
        <v>1185.3688966781137</v>
      </c>
      <c r="AC7" s="188">
        <f>IF(AB7&lt;5,5,INT(AB7+0.5))</f>
        <v>1185</v>
      </c>
      <c r="AD7" s="188"/>
      <c r="AE7" s="188"/>
      <c r="AF7" s="188">
        <f>P7/$R$5</f>
        <v>0.8068508802855822</v>
      </c>
      <c r="AG7" s="188">
        <f>$P$5/$R$5</f>
        <v>0.896298972466859</v>
      </c>
      <c r="AH7" s="188">
        <f>($L$5-L7)*2/$R$5</f>
        <v>-0.24870932947964772</v>
      </c>
      <c r="AI7" s="188">
        <f>SIN(AF7)*SIN(AG7)+COS(AF7)*COS(AG7)*COS(AH7)</f>
        <v>0.9827094140222362</v>
      </c>
      <c r="AJ7" s="188">
        <f>ATAN(SQRT(1-AI7*AI7)/AI7)</f>
        <v>0.1862291298466348</v>
      </c>
      <c r="AK7" s="188">
        <f>IF(U7&lt;0,180/$R$5+U7,U7)</f>
        <v>0.1862291298466348</v>
      </c>
      <c r="AL7" s="188">
        <f>IF(AF7&lt;&gt;AG7,90*(1+ABS(AF7-AG7)/(AF7-AG7)))</f>
        <v>0</v>
      </c>
      <c r="AM7" s="188">
        <f>IF(AH7&lt;&gt;0,90+$R$5*ATAN((SIN(AF7)*AI7-SIN(AG7))/(SIN(AH7)*COS(AF7)^2)),AL7*1)</f>
        <v>121.21911100840673</v>
      </c>
      <c r="AN7" s="188">
        <f>IF(SIN(AH7)&lt;0,AM7+180,AM7*1)</f>
        <v>301.21911100840674</v>
      </c>
      <c r="AO7" s="188">
        <f>INT(AN7)</f>
        <v>301</v>
      </c>
    </row>
  </sheetData>
  <sheetProtection selectLockedCells="1" selectUnlockedCells="1"/>
  <mergeCells count="2">
    <mergeCell ref="E2:H2"/>
    <mergeCell ref="E5:H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J62"/>
  <sheetViews>
    <sheetView tabSelected="1" zoomScale="75" zoomScaleNormal="75" workbookViewId="0" topLeftCell="A1">
      <selection activeCell="B3" sqref="B3"/>
    </sheetView>
  </sheetViews>
  <sheetFormatPr defaultColWidth="8.88671875" defaultRowHeight="15"/>
  <cols>
    <col min="1" max="1" width="3.10546875" style="1" customWidth="1"/>
    <col min="2" max="2" width="8.6640625" style="1" customWidth="1"/>
    <col min="3" max="4" width="14.4453125" style="1" customWidth="1"/>
    <col min="5" max="5" width="5.4453125" style="1" customWidth="1"/>
    <col min="6" max="6" width="9.5546875" style="1" customWidth="1"/>
    <col min="7" max="7" width="21.88671875" style="1" customWidth="1"/>
    <col min="8" max="8" width="12.3359375" style="1" customWidth="1"/>
    <col min="9" max="10" width="9.5546875" style="1" customWidth="1"/>
    <col min="11" max="11" width="13.5546875" style="1" customWidth="1"/>
    <col min="12" max="16384" width="9.5546875" style="1" customWidth="1"/>
  </cols>
  <sheetData>
    <row r="1" spans="2:8" ht="15.75">
      <c r="B1" s="2" t="s">
        <v>0</v>
      </c>
      <c r="C1" s="2"/>
      <c r="D1" s="2"/>
      <c r="E1" s="2"/>
      <c r="F1" s="2"/>
      <c r="G1" s="2"/>
      <c r="H1" s="2"/>
    </row>
    <row r="2" spans="2:8" ht="15.75">
      <c r="B2" s="2" t="s">
        <v>235</v>
      </c>
      <c r="C2" s="2"/>
      <c r="D2" s="2"/>
      <c r="E2" s="2"/>
      <c r="F2" s="2"/>
      <c r="G2" s="2" t="s">
        <v>388</v>
      </c>
      <c r="H2" s="2"/>
    </row>
    <row r="3" spans="2:8" ht="15.75">
      <c r="B3" s="2" t="s">
        <v>389</v>
      </c>
      <c r="C3" s="2"/>
      <c r="D3" s="2"/>
      <c r="E3" s="2"/>
      <c r="F3" s="2"/>
      <c r="G3" s="2"/>
      <c r="H3" s="2"/>
    </row>
    <row r="4" ht="15"/>
    <row r="5" spans="2:10" ht="16.5">
      <c r="B5" s="153" t="s">
        <v>390</v>
      </c>
      <c r="C5" s="154"/>
      <c r="D5" s="154"/>
      <c r="E5" s="189" t="s">
        <v>391</v>
      </c>
      <c r="F5" s="189"/>
      <c r="G5" s="189"/>
      <c r="H5" s="154"/>
      <c r="I5" s="190"/>
      <c r="J5" s="191"/>
    </row>
    <row r="6" spans="2:10" ht="16.5">
      <c r="B6" s="156"/>
      <c r="C6" s="2"/>
      <c r="D6" s="2"/>
      <c r="E6" s="2"/>
      <c r="F6" s="2"/>
      <c r="G6" s="2"/>
      <c r="H6" s="2"/>
      <c r="I6" s="192"/>
      <c r="J6" s="191"/>
    </row>
    <row r="7" spans="2:10" ht="16.5">
      <c r="B7" s="156" t="s">
        <v>392</v>
      </c>
      <c r="C7" s="2"/>
      <c r="D7" s="2"/>
      <c r="E7" s="2"/>
      <c r="F7" s="2"/>
      <c r="G7" s="2"/>
      <c r="H7" s="2"/>
      <c r="I7" s="192"/>
      <c r="J7" s="191"/>
    </row>
    <row r="8" spans="2:10" ht="16.5">
      <c r="B8" s="156" t="s">
        <v>393</v>
      </c>
      <c r="C8" s="2"/>
      <c r="D8" s="2"/>
      <c r="E8" s="2"/>
      <c r="F8" s="2"/>
      <c r="G8" s="2" t="s">
        <v>394</v>
      </c>
      <c r="H8" s="2"/>
      <c r="I8" s="192"/>
      <c r="J8" s="191"/>
    </row>
    <row r="9" spans="2:10" ht="16.5">
      <c r="B9" s="156" t="s">
        <v>395</v>
      </c>
      <c r="C9" s="2"/>
      <c r="D9" s="2"/>
      <c r="E9" s="2"/>
      <c r="F9" s="2"/>
      <c r="G9" s="2" t="s">
        <v>396</v>
      </c>
      <c r="H9" s="2"/>
      <c r="I9" s="192"/>
      <c r="J9" s="191"/>
    </row>
    <row r="10" spans="2:10" ht="16.5">
      <c r="B10" s="156"/>
      <c r="C10" s="2"/>
      <c r="D10" s="2"/>
      <c r="E10" s="2"/>
      <c r="F10" s="2"/>
      <c r="G10" s="2" t="s">
        <v>397</v>
      </c>
      <c r="H10" s="2"/>
      <c r="I10" s="192"/>
      <c r="J10" s="191"/>
    </row>
    <row r="11" spans="2:10" ht="16.5">
      <c r="B11" s="156" t="s">
        <v>398</v>
      </c>
      <c r="C11" s="2"/>
      <c r="D11" s="2"/>
      <c r="E11" s="2"/>
      <c r="F11" s="2"/>
      <c r="G11" s="2"/>
      <c r="H11" s="2"/>
      <c r="I11" s="192"/>
      <c r="J11" s="191"/>
    </row>
    <row r="12" spans="2:10" ht="16.5">
      <c r="B12" s="156" t="s">
        <v>393</v>
      </c>
      <c r="C12" s="2"/>
      <c r="D12" s="2"/>
      <c r="E12" s="2"/>
      <c r="F12" s="2"/>
      <c r="G12" s="2" t="s">
        <v>394</v>
      </c>
      <c r="H12" s="2"/>
      <c r="I12" s="192"/>
      <c r="J12" s="191"/>
    </row>
    <row r="13" spans="2:10" ht="16.5">
      <c r="B13" s="156" t="s">
        <v>399</v>
      </c>
      <c r="C13" s="2"/>
      <c r="D13" s="2"/>
      <c r="E13" s="2"/>
      <c r="F13" s="2"/>
      <c r="G13" s="2" t="s">
        <v>400</v>
      </c>
      <c r="H13" s="2"/>
      <c r="I13" s="192"/>
      <c r="J13" s="191"/>
    </row>
    <row r="14" spans="2:10" ht="16.5">
      <c r="B14" s="156"/>
      <c r="C14" s="2"/>
      <c r="D14" s="2"/>
      <c r="E14" s="2"/>
      <c r="F14" s="2"/>
      <c r="G14" s="2" t="s">
        <v>401</v>
      </c>
      <c r="H14" s="2"/>
      <c r="I14" s="192"/>
      <c r="J14" s="191"/>
    </row>
    <row r="15" spans="2:10" ht="16.5">
      <c r="B15" s="156"/>
      <c r="C15" s="2"/>
      <c r="D15" s="2"/>
      <c r="E15" s="2"/>
      <c r="F15" s="2"/>
      <c r="G15" s="2"/>
      <c r="H15" s="2"/>
      <c r="I15" s="192"/>
      <c r="J15" s="191"/>
    </row>
    <row r="16" spans="2:10" ht="16.5">
      <c r="B16" s="156" t="s">
        <v>402</v>
      </c>
      <c r="C16" s="2"/>
      <c r="D16" s="2"/>
      <c r="E16" s="2"/>
      <c r="F16" s="2"/>
      <c r="G16" s="2"/>
      <c r="H16" s="2"/>
      <c r="I16" s="192"/>
      <c r="J16" s="191"/>
    </row>
    <row r="17" spans="2:10" ht="16.5">
      <c r="B17" s="156" t="s">
        <v>403</v>
      </c>
      <c r="C17" s="2"/>
      <c r="D17" s="2"/>
      <c r="E17" s="2"/>
      <c r="F17" s="2"/>
      <c r="G17" s="2" t="s">
        <v>404</v>
      </c>
      <c r="H17" s="2"/>
      <c r="I17" s="192"/>
      <c r="J17" s="191"/>
    </row>
    <row r="18" spans="2:10" ht="16.5">
      <c r="B18" s="156" t="s">
        <v>405</v>
      </c>
      <c r="C18" s="2"/>
      <c r="D18" s="2"/>
      <c r="E18" s="2"/>
      <c r="F18" s="2"/>
      <c r="G18" s="2" t="s">
        <v>406</v>
      </c>
      <c r="H18" s="2"/>
      <c r="I18" s="192"/>
      <c r="J18" s="191"/>
    </row>
    <row r="19" spans="2:10" ht="16.5">
      <c r="B19" s="156"/>
      <c r="C19" s="2"/>
      <c r="D19" s="2"/>
      <c r="E19" s="2"/>
      <c r="F19" s="2"/>
      <c r="G19" s="2"/>
      <c r="H19" s="2"/>
      <c r="I19" s="192"/>
      <c r="J19" s="191"/>
    </row>
    <row r="20" spans="2:10" ht="16.5">
      <c r="B20" s="156" t="s">
        <v>407</v>
      </c>
      <c r="C20" s="2"/>
      <c r="D20" s="2"/>
      <c r="E20" s="2"/>
      <c r="F20" s="2"/>
      <c r="G20" s="2"/>
      <c r="H20" s="2"/>
      <c r="I20" s="192"/>
      <c r="J20" s="191"/>
    </row>
    <row r="21" spans="2:10" ht="16.5">
      <c r="B21" s="156" t="s">
        <v>393</v>
      </c>
      <c r="C21" s="2"/>
      <c r="D21" s="2"/>
      <c r="E21" s="2"/>
      <c r="F21" s="2" t="s">
        <v>3</v>
      </c>
      <c r="G21" s="2" t="s">
        <v>408</v>
      </c>
      <c r="H21" s="2"/>
      <c r="I21" s="192"/>
      <c r="J21" s="191"/>
    </row>
    <row r="22" spans="2:10" ht="16.5">
      <c r="B22" s="156" t="s">
        <v>409</v>
      </c>
      <c r="C22" s="2"/>
      <c r="D22" s="2"/>
      <c r="E22" s="2"/>
      <c r="F22" s="2"/>
      <c r="G22" s="2"/>
      <c r="H22" s="2"/>
      <c r="I22" s="192"/>
      <c r="J22" s="191"/>
    </row>
    <row r="23" spans="2:10" ht="16.5">
      <c r="B23" s="156"/>
      <c r="C23" s="2"/>
      <c r="D23" s="2"/>
      <c r="E23" s="2"/>
      <c r="F23" s="2"/>
      <c r="G23" s="2"/>
      <c r="H23" s="2"/>
      <c r="I23" s="192"/>
      <c r="J23" s="191"/>
    </row>
    <row r="24" spans="2:10" ht="16.5">
      <c r="B24" s="193" t="s">
        <v>410</v>
      </c>
      <c r="C24" s="194"/>
      <c r="D24" s="194"/>
      <c r="E24" s="194"/>
      <c r="F24" s="194"/>
      <c r="G24" s="194"/>
      <c r="H24" s="194"/>
      <c r="I24" s="195"/>
      <c r="J24" s="191"/>
    </row>
    <row r="25" spans="2:10" ht="16.5">
      <c r="B25" s="2"/>
      <c r="C25" s="2"/>
      <c r="D25" s="2"/>
      <c r="E25" s="2"/>
      <c r="F25" s="2"/>
      <c r="G25" s="2"/>
      <c r="H25" s="2"/>
      <c r="I25" s="2"/>
      <c r="J25" s="191"/>
    </row>
    <row r="26" spans="2:9" ht="16.5">
      <c r="B26" s="153" t="s">
        <v>411</v>
      </c>
      <c r="C26" s="154"/>
      <c r="D26" s="154"/>
      <c r="E26" s="190"/>
      <c r="F26" s="2"/>
      <c r="G26" s="2"/>
      <c r="H26" s="2"/>
      <c r="I26" s="2"/>
    </row>
    <row r="27" spans="2:9" ht="16.5">
      <c r="B27" s="156" t="s">
        <v>43</v>
      </c>
      <c r="C27" s="2" t="s">
        <v>412</v>
      </c>
      <c r="D27" s="2" t="s">
        <v>413</v>
      </c>
      <c r="E27" s="192" t="s">
        <v>414</v>
      </c>
      <c r="F27" s="2"/>
      <c r="G27" s="2"/>
      <c r="H27" s="2"/>
      <c r="I27" s="2"/>
    </row>
    <row r="28" spans="2:9" ht="16.5">
      <c r="B28" s="141" t="s">
        <v>415</v>
      </c>
      <c r="C28" s="146" t="s">
        <v>416</v>
      </c>
      <c r="D28" s="146">
        <v>0.001</v>
      </c>
      <c r="E28" s="196">
        <v>102</v>
      </c>
      <c r="F28" s="146"/>
      <c r="G28" s="146"/>
      <c r="H28" s="146"/>
      <c r="I28" s="2"/>
    </row>
    <row r="29" spans="2:9" ht="16.5">
      <c r="B29" s="141" t="s">
        <v>417</v>
      </c>
      <c r="C29" s="146" t="s">
        <v>418</v>
      </c>
      <c r="D29" s="146">
        <v>0.0015</v>
      </c>
      <c r="E29" s="196">
        <v>152</v>
      </c>
      <c r="F29" s="146"/>
      <c r="G29" s="146"/>
      <c r="H29" s="146"/>
      <c r="I29" s="146"/>
    </row>
    <row r="30" spans="2:9" ht="16.5">
      <c r="B30" s="141">
        <v>2200</v>
      </c>
      <c r="C30" s="146">
        <v>2.2</v>
      </c>
      <c r="D30" s="146">
        <v>0.0022</v>
      </c>
      <c r="E30" s="196">
        <v>222</v>
      </c>
      <c r="F30" s="146"/>
      <c r="G30" s="146"/>
      <c r="H30" s="146"/>
      <c r="I30" s="146"/>
    </row>
    <row r="31" spans="2:9" ht="16.5">
      <c r="B31" s="141">
        <v>3300</v>
      </c>
      <c r="C31" s="146">
        <v>3.3</v>
      </c>
      <c r="D31" s="146">
        <v>0.0033</v>
      </c>
      <c r="E31" s="196">
        <v>332</v>
      </c>
      <c r="F31" s="146"/>
      <c r="G31" s="146"/>
      <c r="H31" s="146"/>
      <c r="I31" s="146"/>
    </row>
    <row r="32" spans="2:9" ht="16.5">
      <c r="B32" s="141">
        <v>4700</v>
      </c>
      <c r="C32" s="146">
        <v>4.7</v>
      </c>
      <c r="D32" s="146">
        <v>0.0047</v>
      </c>
      <c r="E32" s="196">
        <v>472</v>
      </c>
      <c r="F32" s="146"/>
      <c r="G32" s="146"/>
      <c r="H32" s="146"/>
      <c r="I32" s="146"/>
    </row>
    <row r="33" spans="2:9" ht="16.5">
      <c r="B33" s="141">
        <v>6800</v>
      </c>
      <c r="C33" s="146">
        <v>6.8</v>
      </c>
      <c r="D33" s="146">
        <v>0.0068</v>
      </c>
      <c r="E33" s="196">
        <v>682</v>
      </c>
      <c r="F33" s="146"/>
      <c r="G33" s="146"/>
      <c r="H33" s="146"/>
      <c r="I33" s="146"/>
    </row>
    <row r="34" spans="2:9" ht="16.5">
      <c r="B34" s="141">
        <v>10000</v>
      </c>
      <c r="C34" s="146">
        <v>10</v>
      </c>
      <c r="D34" s="146">
        <v>0.01</v>
      </c>
      <c r="E34" s="196">
        <v>103</v>
      </c>
      <c r="F34" s="146"/>
      <c r="G34" s="146"/>
      <c r="H34" s="146"/>
      <c r="I34" s="146"/>
    </row>
    <row r="35" spans="2:9" ht="15.75">
      <c r="B35" s="141">
        <v>15000</v>
      </c>
      <c r="C35" s="146">
        <v>15</v>
      </c>
      <c r="D35" s="146">
        <v>0.015</v>
      </c>
      <c r="E35" s="196">
        <v>153</v>
      </c>
      <c r="F35" s="146"/>
      <c r="G35" s="146"/>
      <c r="H35" s="146"/>
      <c r="I35" s="146"/>
    </row>
    <row r="36" spans="2:9" ht="15.75">
      <c r="B36" s="141">
        <v>22000</v>
      </c>
      <c r="C36" s="146">
        <v>22</v>
      </c>
      <c r="D36" s="146">
        <v>0.022</v>
      </c>
      <c r="E36" s="196">
        <v>223</v>
      </c>
      <c r="F36" s="146"/>
      <c r="G36" s="146"/>
      <c r="H36" s="146"/>
      <c r="I36" s="146"/>
    </row>
    <row r="37" spans="2:9" ht="16.5">
      <c r="B37" s="141">
        <v>33000</v>
      </c>
      <c r="C37" s="146">
        <v>33</v>
      </c>
      <c r="D37" s="146">
        <v>0.033</v>
      </c>
      <c r="E37" s="196">
        <v>333</v>
      </c>
      <c r="F37" s="146"/>
      <c r="G37" s="146"/>
      <c r="H37" s="146"/>
      <c r="I37" s="146"/>
    </row>
    <row r="38" spans="2:9" ht="16.5">
      <c r="B38" s="141">
        <v>47000</v>
      </c>
      <c r="C38" s="146">
        <v>47</v>
      </c>
      <c r="D38" s="146">
        <v>0.047</v>
      </c>
      <c r="E38" s="196">
        <v>473</v>
      </c>
      <c r="F38" s="146"/>
      <c r="G38" s="146"/>
      <c r="H38" s="146"/>
      <c r="I38" s="146"/>
    </row>
    <row r="39" spans="2:9" ht="16.5">
      <c r="B39" s="141">
        <v>68000</v>
      </c>
      <c r="C39" s="146">
        <v>68</v>
      </c>
      <c r="D39" s="146">
        <v>0.068</v>
      </c>
      <c r="E39" s="196">
        <v>683</v>
      </c>
      <c r="F39" s="146"/>
      <c r="G39" s="146"/>
      <c r="H39" s="146"/>
      <c r="I39" s="146"/>
    </row>
    <row r="40" spans="2:9" ht="16.5">
      <c r="B40" s="141">
        <v>100000</v>
      </c>
      <c r="C40" s="146">
        <v>100</v>
      </c>
      <c r="D40" s="146">
        <v>0.1</v>
      </c>
      <c r="E40" s="196">
        <v>104</v>
      </c>
      <c r="F40" s="146"/>
      <c r="G40" s="146"/>
      <c r="H40" s="146"/>
      <c r="I40" s="146"/>
    </row>
    <row r="41" spans="2:9" ht="16.5">
      <c r="B41" s="141">
        <v>150000</v>
      </c>
      <c r="C41" s="146">
        <v>150</v>
      </c>
      <c r="D41" s="146">
        <v>0.15</v>
      </c>
      <c r="E41" s="196">
        <v>154</v>
      </c>
      <c r="F41" s="146"/>
      <c r="G41" s="146"/>
      <c r="H41" s="146"/>
      <c r="I41" s="146"/>
    </row>
    <row r="42" spans="2:9" ht="16.5">
      <c r="B42" s="141">
        <v>220000</v>
      </c>
      <c r="C42" s="146">
        <v>220</v>
      </c>
      <c r="D42" s="146">
        <v>0.22</v>
      </c>
      <c r="E42" s="196">
        <v>224</v>
      </c>
      <c r="F42" s="146"/>
      <c r="G42" s="146"/>
      <c r="H42" s="146"/>
      <c r="I42" s="146"/>
    </row>
    <row r="43" spans="2:9" ht="16.5">
      <c r="B43" s="141">
        <v>330000</v>
      </c>
      <c r="C43" s="146">
        <v>330</v>
      </c>
      <c r="D43" s="146">
        <v>0.33</v>
      </c>
      <c r="E43" s="196">
        <v>334</v>
      </c>
      <c r="F43" s="146"/>
      <c r="G43" s="146"/>
      <c r="H43" s="146"/>
      <c r="I43" s="146"/>
    </row>
    <row r="44" spans="2:9" ht="16.5">
      <c r="B44" s="197">
        <v>470000</v>
      </c>
      <c r="C44" s="198">
        <v>470</v>
      </c>
      <c r="D44" s="198">
        <v>0.47</v>
      </c>
      <c r="E44" s="199">
        <v>474</v>
      </c>
      <c r="F44" s="146"/>
      <c r="G44" s="146"/>
      <c r="H44" s="146"/>
      <c r="I44" s="146"/>
    </row>
    <row r="45" spans="1:8" ht="16.5">
      <c r="A45" s="2"/>
      <c r="B45" s="2"/>
      <c r="C45" s="2"/>
      <c r="D45" s="2"/>
      <c r="E45" s="2"/>
      <c r="F45" s="2"/>
      <c r="G45" s="2"/>
      <c r="H45" s="2"/>
    </row>
    <row r="46" spans="2:9" ht="16.5">
      <c r="B46" s="2"/>
      <c r="C46" s="2"/>
      <c r="D46" s="2"/>
      <c r="E46" s="2"/>
      <c r="F46" s="2"/>
      <c r="G46" s="2"/>
      <c r="H46" s="2"/>
      <c r="I46" s="2"/>
    </row>
    <row r="47" spans="2:9" ht="16.5">
      <c r="B47" s="200" t="s">
        <v>419</v>
      </c>
      <c r="C47" s="200"/>
      <c r="D47" s="200"/>
      <c r="E47" s="2"/>
      <c r="F47" s="200" t="s">
        <v>420</v>
      </c>
      <c r="G47" s="200"/>
      <c r="H47" s="200"/>
      <c r="I47" s="2"/>
    </row>
    <row r="48" spans="2:9" ht="16.5">
      <c r="B48" s="143" t="s">
        <v>227</v>
      </c>
      <c r="C48" s="2" t="s">
        <v>421</v>
      </c>
      <c r="D48" s="201" t="s">
        <v>422</v>
      </c>
      <c r="E48" s="2"/>
      <c r="F48" s="143" t="s">
        <v>227</v>
      </c>
      <c r="G48" s="2" t="s">
        <v>421</v>
      </c>
      <c r="H48" s="201" t="s">
        <v>422</v>
      </c>
      <c r="I48" s="2"/>
    </row>
    <row r="49" spans="2:9" ht="16.5">
      <c r="B49" s="147">
        <v>0</v>
      </c>
      <c r="C49" s="146">
        <f aca="true" t="shared" si="0" ref="C49:C62">(D49)*0.6213</f>
        <v>1273.665</v>
      </c>
      <c r="D49" s="202">
        <v>2050</v>
      </c>
      <c r="E49" s="146"/>
      <c r="F49" s="147">
        <v>0</v>
      </c>
      <c r="G49" s="146">
        <f aca="true" t="shared" si="1" ref="G49:G62">(H49)*0.6213</f>
        <v>2485.2</v>
      </c>
      <c r="H49" s="202">
        <v>4000</v>
      </c>
      <c r="I49" s="2"/>
    </row>
    <row r="50" spans="2:9" ht="16.5">
      <c r="B50" s="147">
        <v>5</v>
      </c>
      <c r="C50" s="146">
        <f t="shared" si="0"/>
        <v>931.9499999999999</v>
      </c>
      <c r="D50" s="202">
        <v>1500</v>
      </c>
      <c r="E50" s="2"/>
      <c r="F50" s="147">
        <v>5</v>
      </c>
      <c r="G50" s="146">
        <f t="shared" si="1"/>
        <v>1863.8999999999999</v>
      </c>
      <c r="H50" s="202">
        <v>3000</v>
      </c>
      <c r="I50" s="2"/>
    </row>
    <row r="51" spans="2:9" ht="16.5">
      <c r="B51" s="147">
        <v>10</v>
      </c>
      <c r="C51" s="146">
        <f t="shared" si="0"/>
        <v>621.3</v>
      </c>
      <c r="D51" s="202">
        <v>1000</v>
      </c>
      <c r="E51" s="2"/>
      <c r="F51" s="147">
        <v>10</v>
      </c>
      <c r="G51" s="146">
        <f t="shared" si="1"/>
        <v>1304.73</v>
      </c>
      <c r="H51" s="202">
        <v>2100</v>
      </c>
      <c r="I51" s="2"/>
    </row>
    <row r="52" spans="2:9" ht="16.5">
      <c r="B52" s="147">
        <v>15</v>
      </c>
      <c r="C52" s="146">
        <f t="shared" si="0"/>
        <v>385.20599999999996</v>
      </c>
      <c r="D52" s="202">
        <v>620</v>
      </c>
      <c r="E52" s="2"/>
      <c r="F52" s="147">
        <v>15</v>
      </c>
      <c r="G52" s="146">
        <f t="shared" si="1"/>
        <v>1087.2749999999999</v>
      </c>
      <c r="H52" s="202">
        <v>1750</v>
      </c>
      <c r="I52" s="2"/>
    </row>
    <row r="53" spans="2:9" ht="16.5">
      <c r="B53" s="147">
        <v>20</v>
      </c>
      <c r="C53" s="146">
        <f t="shared" si="0"/>
        <v>310.65</v>
      </c>
      <c r="D53" s="202">
        <v>500</v>
      </c>
      <c r="E53" s="2"/>
      <c r="F53" s="147">
        <v>20</v>
      </c>
      <c r="G53" s="146">
        <f t="shared" si="1"/>
        <v>931.9499999999999</v>
      </c>
      <c r="H53" s="202">
        <v>1500</v>
      </c>
      <c r="I53" s="2"/>
    </row>
    <row r="54" spans="2:9" ht="16.5">
      <c r="B54" s="147">
        <v>25</v>
      </c>
      <c r="C54" s="146">
        <f t="shared" si="0"/>
        <v>248.51999999999998</v>
      </c>
      <c r="D54" s="202">
        <v>400</v>
      </c>
      <c r="E54" s="2"/>
      <c r="F54" s="147">
        <v>25</v>
      </c>
      <c r="G54" s="146">
        <f t="shared" si="1"/>
        <v>776.625</v>
      </c>
      <c r="H54" s="202">
        <v>1250</v>
      </c>
      <c r="I54" s="2"/>
    </row>
    <row r="55" spans="2:9" ht="16.5">
      <c r="B55" s="147">
        <v>35</v>
      </c>
      <c r="C55" s="146">
        <f t="shared" si="0"/>
        <v>173.964</v>
      </c>
      <c r="D55" s="202">
        <v>280</v>
      </c>
      <c r="E55" s="2"/>
      <c r="F55" s="147">
        <v>35</v>
      </c>
      <c r="G55" s="146">
        <f t="shared" si="1"/>
        <v>497.03999999999996</v>
      </c>
      <c r="H55" s="202">
        <v>800</v>
      </c>
      <c r="I55" s="2"/>
    </row>
    <row r="56" spans="2:9" ht="16.5">
      <c r="B56" s="147">
        <v>45</v>
      </c>
      <c r="C56" s="146">
        <f t="shared" si="0"/>
        <v>124.25999999999999</v>
      </c>
      <c r="D56" s="202">
        <v>200</v>
      </c>
      <c r="E56" s="2"/>
      <c r="F56" s="147">
        <v>45</v>
      </c>
      <c r="G56" s="146">
        <f t="shared" si="1"/>
        <v>372.78</v>
      </c>
      <c r="H56" s="202">
        <v>600</v>
      </c>
      <c r="I56" s="2"/>
    </row>
    <row r="57" spans="2:9" ht="16.5">
      <c r="B57" s="147">
        <v>55</v>
      </c>
      <c r="C57" s="146">
        <f t="shared" si="0"/>
        <v>99.40799999999999</v>
      </c>
      <c r="D57" s="202">
        <v>160</v>
      </c>
      <c r="E57" s="2"/>
      <c r="F57" s="147">
        <v>55</v>
      </c>
      <c r="G57" s="146">
        <f t="shared" si="1"/>
        <v>248.51999999999998</v>
      </c>
      <c r="H57" s="202">
        <v>400</v>
      </c>
      <c r="I57" s="2"/>
    </row>
    <row r="58" spans="2:9" ht="16.5">
      <c r="B58" s="147">
        <v>65</v>
      </c>
      <c r="C58" s="146">
        <f t="shared" si="0"/>
        <v>62.129999999999995</v>
      </c>
      <c r="D58" s="202">
        <v>100</v>
      </c>
      <c r="E58" s="2"/>
      <c r="F58" s="147">
        <v>65</v>
      </c>
      <c r="G58" s="146">
        <f t="shared" si="1"/>
        <v>170.8575</v>
      </c>
      <c r="H58" s="202">
        <v>275</v>
      </c>
      <c r="I58" s="2"/>
    </row>
    <row r="59" spans="2:9" ht="16.5">
      <c r="B59" s="147">
        <v>75</v>
      </c>
      <c r="C59" s="146">
        <f t="shared" si="0"/>
        <v>31.064999999999998</v>
      </c>
      <c r="D59" s="202">
        <v>50</v>
      </c>
      <c r="E59" s="2"/>
      <c r="F59" s="147">
        <v>70</v>
      </c>
      <c r="G59" s="146">
        <f t="shared" si="1"/>
        <v>124.25999999999999</v>
      </c>
      <c r="H59" s="202">
        <v>200</v>
      </c>
      <c r="I59" s="2"/>
    </row>
    <row r="60" spans="2:9" ht="16.5">
      <c r="B60" s="147">
        <v>80</v>
      </c>
      <c r="C60" s="146">
        <f t="shared" si="0"/>
        <v>18.639</v>
      </c>
      <c r="D60" s="202">
        <v>30</v>
      </c>
      <c r="E60" s="2"/>
      <c r="F60" s="147">
        <v>80</v>
      </c>
      <c r="G60" s="146">
        <f t="shared" si="1"/>
        <v>62.129999999999995</v>
      </c>
      <c r="H60" s="202">
        <v>100</v>
      </c>
      <c r="I60" s="2"/>
    </row>
    <row r="61" spans="2:9" ht="16.5">
      <c r="B61" s="147">
        <v>85</v>
      </c>
      <c r="C61" s="146">
        <f t="shared" si="0"/>
        <v>12.425999999999998</v>
      </c>
      <c r="D61" s="202">
        <v>20</v>
      </c>
      <c r="E61" s="2"/>
      <c r="F61" s="147">
        <v>85</v>
      </c>
      <c r="G61" s="146">
        <f t="shared" si="1"/>
        <v>31.064999999999998</v>
      </c>
      <c r="H61" s="202">
        <v>50</v>
      </c>
      <c r="I61" s="2"/>
    </row>
    <row r="62" spans="2:8" ht="16.5">
      <c r="B62" s="203">
        <v>90</v>
      </c>
      <c r="C62" s="198">
        <f t="shared" si="0"/>
        <v>3.1064999999999996</v>
      </c>
      <c r="D62" s="204">
        <v>5</v>
      </c>
      <c r="E62" s="205"/>
      <c r="F62" s="203">
        <v>90</v>
      </c>
      <c r="G62" s="198">
        <f t="shared" si="1"/>
        <v>12.425999999999998</v>
      </c>
      <c r="H62" s="204">
        <v>20</v>
      </c>
    </row>
  </sheetData>
  <sheetProtection selectLockedCells="1" selectUnlockedCells="1"/>
  <mergeCells count="2">
    <mergeCell ref="B47:D47"/>
    <mergeCell ref="F47:H47"/>
  </mergeCells>
  <printOptions/>
  <pageMargins left="0.5" right="0.5" top="0.5" bottom="0.5" header="0.5118055555555555" footer="0.5118055555555555"/>
  <pageSetup horizontalDpi="300" verticalDpi="300" orientation="portrait"/>
  <drawing r:id="rId3"/>
  <legacyDrawing r:id="rId2"/>
</worksheet>
</file>

<file path=xl/worksheets/sheet7.xml><?xml version="1.0" encoding="utf-8"?>
<worksheet xmlns="http://schemas.openxmlformats.org/spreadsheetml/2006/main" xmlns:r="http://schemas.openxmlformats.org/officeDocument/2006/relationships">
  <dimension ref="A1:H21"/>
  <sheetViews>
    <sheetView zoomScale="75" zoomScaleNormal="75" workbookViewId="0" topLeftCell="A1">
      <selection activeCell="F9" sqref="F9"/>
    </sheetView>
  </sheetViews>
  <sheetFormatPr defaultColWidth="8.88671875" defaultRowHeight="15"/>
  <cols>
    <col min="1" max="1" width="2.6640625" style="1" customWidth="1"/>
    <col min="2" max="3" width="9.5546875" style="1" customWidth="1"/>
    <col min="4" max="4" width="12.10546875" style="1" customWidth="1"/>
    <col min="5" max="6" width="9.5546875" style="1" customWidth="1"/>
    <col min="7" max="7" width="16.4453125" style="1" customWidth="1"/>
    <col min="8" max="16384" width="9.5546875" style="1" customWidth="1"/>
  </cols>
  <sheetData>
    <row r="1" spans="2:8" ht="15.75">
      <c r="B1" s="2" t="s">
        <v>0</v>
      </c>
      <c r="C1" s="2"/>
      <c r="D1" s="2"/>
      <c r="E1" s="2" t="s">
        <v>423</v>
      </c>
      <c r="F1" s="2"/>
      <c r="G1" s="2"/>
      <c r="H1" s="2"/>
    </row>
    <row r="2" spans="2:8" ht="16.5">
      <c r="B2" s="2" t="s">
        <v>235</v>
      </c>
      <c r="C2" s="2"/>
      <c r="D2" s="2"/>
      <c r="E2" s="2"/>
      <c r="F2" s="2"/>
      <c r="G2" s="2"/>
      <c r="H2" s="2"/>
    </row>
    <row r="3" spans="2:8" ht="16.5">
      <c r="B3" s="2" t="s">
        <v>424</v>
      </c>
      <c r="C3" s="2"/>
      <c r="D3" s="2"/>
      <c r="E3" s="2"/>
      <c r="F3" s="2"/>
      <c r="G3" s="2"/>
      <c r="H3" s="2"/>
    </row>
    <row r="5" spans="2:8" ht="15.75">
      <c r="B5" s="200" t="s">
        <v>425</v>
      </c>
      <c r="C5" s="200"/>
      <c r="D5" s="200"/>
      <c r="E5" s="200"/>
      <c r="F5" s="200"/>
      <c r="G5" s="200"/>
      <c r="H5" s="191"/>
    </row>
    <row r="6" spans="2:8" ht="15.75">
      <c r="B6" s="206" t="s">
        <v>426</v>
      </c>
      <c r="C6" s="206"/>
      <c r="D6" s="206"/>
      <c r="E6" s="206"/>
      <c r="F6" s="206"/>
      <c r="G6" s="206"/>
      <c r="H6" s="191"/>
    </row>
    <row r="7" spans="2:8" ht="15">
      <c r="B7" s="155" t="s">
        <v>427</v>
      </c>
      <c r="C7" s="25"/>
      <c r="D7" s="25"/>
      <c r="E7" s="207">
        <v>1</v>
      </c>
      <c r="F7" s="25" t="s">
        <v>57</v>
      </c>
      <c r="G7" s="26"/>
      <c r="H7" s="191"/>
    </row>
    <row r="8" spans="2:8" ht="15">
      <c r="B8" s="155" t="s">
        <v>428</v>
      </c>
      <c r="C8" s="25"/>
      <c r="D8" s="25"/>
      <c r="E8" s="25">
        <v>0.15</v>
      </c>
      <c r="F8" s="25" t="s">
        <v>57</v>
      </c>
      <c r="G8" s="26"/>
      <c r="H8" s="191"/>
    </row>
    <row r="9" spans="2:8" ht="15">
      <c r="B9" s="27" t="s">
        <v>429</v>
      </c>
      <c r="C9" s="28"/>
      <c r="D9" s="28"/>
      <c r="E9" s="28">
        <f>SUM(122.4)/((E8)+(0.3*E7))</f>
        <v>272.00000000000006</v>
      </c>
      <c r="F9" s="28" t="s">
        <v>54</v>
      </c>
      <c r="G9" s="29"/>
      <c r="H9" s="191"/>
    </row>
    <row r="10" spans="2:7" ht="15">
      <c r="B10" s="136"/>
      <c r="C10" s="191"/>
      <c r="D10" s="191"/>
      <c r="E10" s="191"/>
      <c r="F10" s="191"/>
      <c r="G10" s="208"/>
    </row>
    <row r="11" spans="2:7" ht="16.5">
      <c r="B11" s="209" t="s">
        <v>430</v>
      </c>
      <c r="G11" s="210"/>
    </row>
    <row r="12" spans="2:7" ht="15">
      <c r="B12" s="209" t="s">
        <v>431</v>
      </c>
      <c r="G12" s="210"/>
    </row>
    <row r="13" spans="2:7" ht="15">
      <c r="B13" s="209" t="s">
        <v>432</v>
      </c>
      <c r="G13" s="210"/>
    </row>
    <row r="14" spans="2:7" ht="15">
      <c r="B14" s="211" t="s">
        <v>433</v>
      </c>
      <c r="C14" s="212"/>
      <c r="D14" s="212"/>
      <c r="E14" s="212"/>
      <c r="F14" s="212"/>
      <c r="G14" s="213"/>
    </row>
    <row r="15" ht="15"/>
    <row r="16" ht="15"/>
    <row r="17" spans="2:5" ht="15.75">
      <c r="B17" s="200" t="s">
        <v>434</v>
      </c>
      <c r="C17" s="200"/>
      <c r="D17" s="200"/>
      <c r="E17" s="200"/>
    </row>
    <row r="18" spans="2:5" ht="15">
      <c r="B18" s="155" t="s">
        <v>435</v>
      </c>
      <c r="C18" s="25"/>
      <c r="D18" s="25">
        <v>22</v>
      </c>
      <c r="E18" s="26" t="s">
        <v>436</v>
      </c>
    </row>
    <row r="19" spans="1:5" ht="15">
      <c r="A19" s="165"/>
      <c r="B19" s="155" t="s">
        <v>251</v>
      </c>
      <c r="C19" s="25"/>
      <c r="D19" s="25">
        <v>10</v>
      </c>
      <c r="E19" s="26" t="s">
        <v>230</v>
      </c>
    </row>
    <row r="20" spans="2:5" ht="15">
      <c r="B20" s="214" t="s">
        <v>437</v>
      </c>
      <c r="C20" s="215"/>
      <c r="D20" s="215">
        <f>6.283*(D19)*(D18/1000000)</f>
        <v>0.0013822600000000002</v>
      </c>
      <c r="E20" s="210"/>
    </row>
    <row r="21" spans="2:5" ht="15">
      <c r="B21" s="216" t="s">
        <v>438</v>
      </c>
      <c r="C21" s="217"/>
      <c r="D21" s="217">
        <f>POWER((D20),-1)</f>
        <v>723.4528959819426</v>
      </c>
      <c r="E21" s="218" t="s">
        <v>54</v>
      </c>
    </row>
    <row r="22" ht="15"/>
    <row r="23" ht="15"/>
    <row r="24" ht="15"/>
    <row r="25" ht="15"/>
    <row r="26" ht="15"/>
    <row r="27" ht="15"/>
    <row r="28" ht="15"/>
  </sheetData>
  <sheetProtection selectLockedCells="1" selectUnlockedCells="1"/>
  <mergeCells count="3">
    <mergeCell ref="B5:G5"/>
    <mergeCell ref="B6:G6"/>
    <mergeCell ref="B17:E17"/>
  </mergeCells>
  <printOptions/>
  <pageMargins left="0.5" right="0.5" top="0.5" bottom="0.5" header="0.5118055555555555" footer="0.5118055555555555"/>
  <pageSetup horizontalDpi="300" verticalDpi="300" orientation="portrait"/>
  <legacyDrawing r:id="rId2"/>
</worksheet>
</file>

<file path=xl/worksheets/sheet8.xml><?xml version="1.0" encoding="utf-8"?>
<worksheet xmlns="http://schemas.openxmlformats.org/spreadsheetml/2006/main" xmlns:r="http://schemas.openxmlformats.org/officeDocument/2006/relationships">
  <dimension ref="A1:F12"/>
  <sheetViews>
    <sheetView zoomScale="75" zoomScaleNormal="75" workbookViewId="0" topLeftCell="A1">
      <selection activeCell="A3" sqref="A3"/>
    </sheetView>
  </sheetViews>
  <sheetFormatPr defaultColWidth="7.99609375" defaultRowHeight="15"/>
  <cols>
    <col min="1" max="1" width="5.10546875" style="0" customWidth="1"/>
    <col min="2" max="2" width="13.6640625" style="0" customWidth="1"/>
    <col min="3" max="16384" width="8.88671875" style="0" customWidth="1"/>
  </cols>
  <sheetData>
    <row r="1" spans="1:3" ht="16.5">
      <c r="A1" s="172" t="s">
        <v>0</v>
      </c>
      <c r="B1" s="172"/>
      <c r="C1" s="172"/>
    </row>
    <row r="2" spans="1:3" ht="16.5">
      <c r="A2" s="2" t="s">
        <v>439</v>
      </c>
      <c r="B2" s="2"/>
      <c r="C2" s="172"/>
    </row>
    <row r="3" spans="1:3" ht="15.75">
      <c r="A3" s="2" t="s">
        <v>440</v>
      </c>
      <c r="B3" s="2"/>
      <c r="C3" s="172"/>
    </row>
    <row r="4" spans="1:3" ht="15.75">
      <c r="A4" s="2"/>
      <c r="B4" s="2"/>
      <c r="C4" s="172"/>
    </row>
    <row r="5" spans="2:6" ht="15">
      <c r="B5" s="219" t="s">
        <v>441</v>
      </c>
      <c r="C5" s="219"/>
      <c r="D5" s="219"/>
      <c r="E5" s="219"/>
      <c r="F5" s="1"/>
    </row>
    <row r="6" spans="2:6" ht="16.5">
      <c r="B6" s="220" t="s">
        <v>442</v>
      </c>
      <c r="C6" s="221">
        <v>30</v>
      </c>
      <c r="D6" s="221"/>
      <c r="E6" s="222"/>
      <c r="F6" s="1"/>
    </row>
    <row r="7" spans="2:6" ht="15">
      <c r="B7" s="223" t="s">
        <v>443</v>
      </c>
      <c r="C7" s="224">
        <f>C6*33.86</f>
        <v>1015.8</v>
      </c>
      <c r="D7" s="225"/>
      <c r="E7" s="226"/>
      <c r="F7" s="1"/>
    </row>
    <row r="8" spans="2:6" ht="15">
      <c r="B8" s="227"/>
      <c r="C8" s="227"/>
      <c r="D8" s="227"/>
      <c r="E8" s="227"/>
      <c r="F8" s="1"/>
    </row>
    <row r="9" spans="2:6" ht="15">
      <c r="B9" s="227"/>
      <c r="C9" s="227"/>
      <c r="D9" s="227"/>
      <c r="E9" s="227"/>
      <c r="F9" s="1"/>
    </row>
    <row r="10" spans="2:6" ht="16.5">
      <c r="B10" s="219" t="s">
        <v>441</v>
      </c>
      <c r="C10" s="219"/>
      <c r="D10" s="219"/>
      <c r="E10" s="219"/>
      <c r="F10" s="1" t="s">
        <v>3</v>
      </c>
    </row>
    <row r="11" spans="2:6" ht="16.5">
      <c r="B11" s="220" t="s">
        <v>444</v>
      </c>
      <c r="C11" s="221">
        <v>1015.8</v>
      </c>
      <c r="D11" s="221"/>
      <c r="E11" s="222"/>
      <c r="F11" s="1"/>
    </row>
    <row r="12" spans="2:6" ht="16.5">
      <c r="B12" s="228" t="s">
        <v>445</v>
      </c>
      <c r="C12" s="224">
        <f>C11/33.86</f>
        <v>30</v>
      </c>
      <c r="D12" s="224"/>
      <c r="E12" s="229"/>
      <c r="F12" s="1"/>
    </row>
  </sheetData>
  <sheetProtection selectLockedCells="1" selectUnlockedCells="1"/>
  <mergeCells count="2">
    <mergeCell ref="B5:E5"/>
    <mergeCell ref="B10:E10"/>
  </mergeCells>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2010-11-05T18:05:44Z</dcterms:created>
  <dcterms:modified xsi:type="dcterms:W3CDTF">2022-08-19T17:28:13Z</dcterms:modified>
  <cp:category/>
  <cp:version/>
  <cp:contentType/>
  <cp:contentStatus/>
  <cp:revision>50</cp:revision>
</cp:coreProperties>
</file>